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licitacao\LICITAÇÕES 2025\LICITACON\CONC. ELET. 08- COLETA DE LIXO\"/>
    </mc:Choice>
  </mc:AlternateContent>
  <xr:revisionPtr revIDLastSave="0" documentId="8_{5E5F619F-9877-4040-9AC4-20FA9C32005C}" xr6:coauthVersionLast="47" xr6:coauthVersionMax="47" xr10:uidLastSave="{00000000-0000-0000-0000-000000000000}"/>
  <bookViews>
    <workbookView xWindow="-120" yWindow="-120" windowWidth="29040" windowHeight="15720" tabRatio="802" xr2:uid="{00000000-000D-0000-FFFF-FFFF00000000}"/>
  </bookViews>
  <sheets>
    <sheet name="Resumo" sheetId="27" r:id="rId1"/>
    <sheet name="1. Coleta Orgânica " sheetId="21" r:id="rId2"/>
    <sheet name="2. Coleta Seletiva" sheetId="28" r:id="rId3"/>
    <sheet name="3. Triagem" sheetId="24" r:id="rId4"/>
    <sheet name="3.Enc Sociais" sheetId="26" r:id="rId5"/>
    <sheet name="4.BDI " sheetId="22" r:id="rId6"/>
    <sheet name="5.Ton" sheetId="10" r:id="rId7"/>
    <sheet name="6.Horários" sheetId="11" r:id="rId8"/>
    <sheet name="7.Roteiro" sheetId="14" r:id="rId9"/>
    <sheet name="8. Depreciação" sheetId="6" r:id="rId10"/>
    <sheet name="9.Remuneração de capital" sheetId="7" r:id="rId11"/>
    <sheet name="10. Dimensionamento" sheetId="9" r:id="rId12"/>
  </sheets>
  <definedNames>
    <definedName name="AbaDeprec">'8. Depreciação'!$A$1</definedName>
    <definedName name="AbaRemun" localSheetId="6">#REF!</definedName>
    <definedName name="AbaRemun" localSheetId="7">#REF!</definedName>
    <definedName name="AbaRemun">'9.Remuneração de capital'!$A$1</definedName>
    <definedName name="_xlnm.Print_Area" localSheetId="1">'1. Coleta Orgânica '!$A$1:$F$279</definedName>
    <definedName name="_xlnm.Print_Area" localSheetId="2">'2. Coleta Seletiva'!$A$1:$F$279</definedName>
    <definedName name="_xlnm.Print_Area" localSheetId="3">'3. Triagem'!$A$1:$F$293</definedName>
    <definedName name="_xlnm.Print_Area" localSheetId="4">'3.Enc Sociais'!$A$1:$C$40</definedName>
    <definedName name="_xlnm.Print_Area" localSheetId="8">'7.Roteiro'!$A$2:$E$35,'7.Roteiro'!$G$3:$K$35,'7.Roteiro'!$A$38:$E$70,'7.Roteiro'!$G$38:$K$70,'7.Roteiro'!$A$73:$E$94,'7.Roteiro'!$G$73:$K$94,'7.Roteiro'!$M$5:$Q$18</definedName>
    <definedName name="_xlnm.Print_Titles" localSheetId="1">'1. Coleta Orgânica '!$1:$8</definedName>
    <definedName name="_xlnm.Print_Titles" localSheetId="2">'2. Coleta Seletiva'!$1:$8</definedName>
    <definedName name="_xlnm.Print_Titles" localSheetId="3">'3. Triagem'!$1:$8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6" i="28" l="1"/>
  <c r="C157" i="28"/>
  <c r="E271" i="24" l="1"/>
  <c r="D178" i="24" l="1"/>
  <c r="E178" i="24" s="1"/>
  <c r="D177" i="24"/>
  <c r="E177" i="24" s="1"/>
  <c r="D176" i="24"/>
  <c r="E176" i="24" s="1"/>
  <c r="D175" i="24"/>
  <c r="E175" i="24" s="1"/>
  <c r="D174" i="24"/>
  <c r="E174" i="24" s="1"/>
  <c r="D173" i="24"/>
  <c r="E173" i="24" s="1"/>
  <c r="D172" i="24"/>
  <c r="E172" i="24" s="1"/>
  <c r="C179" i="24"/>
  <c r="E165" i="24"/>
  <c r="E166" i="24"/>
  <c r="E164" i="24"/>
  <c r="E163" i="24"/>
  <c r="E162" i="24"/>
  <c r="E161" i="24"/>
  <c r="E160" i="24"/>
  <c r="E159" i="24"/>
  <c r="E158" i="24"/>
  <c r="E157" i="24"/>
  <c r="E156" i="24"/>
  <c r="E155" i="24"/>
  <c r="E154" i="24"/>
  <c r="D156" i="28"/>
  <c r="E156" i="28" s="1"/>
  <c r="D155" i="28"/>
  <c r="E155" i="28" s="1"/>
  <c r="D154" i="28"/>
  <c r="E154" i="28" s="1"/>
  <c r="D153" i="28"/>
  <c r="E153" i="28" s="1"/>
  <c r="D152" i="28"/>
  <c r="E152" i="28" s="1"/>
  <c r="D151" i="28"/>
  <c r="E151" i="28" s="1"/>
  <c r="D150" i="28"/>
  <c r="E150" i="28" s="1"/>
  <c r="E144" i="28"/>
  <c r="E143" i="28"/>
  <c r="E142" i="28"/>
  <c r="E141" i="28"/>
  <c r="E140" i="28"/>
  <c r="E139" i="28"/>
  <c r="E138" i="28"/>
  <c r="E137" i="28"/>
  <c r="E136" i="28"/>
  <c r="E135" i="28"/>
  <c r="E134" i="28"/>
  <c r="E133" i="28"/>
  <c r="E132" i="28"/>
  <c r="D156" i="21"/>
  <c r="E156" i="21" s="1"/>
  <c r="D155" i="21"/>
  <c r="E155" i="21" s="1"/>
  <c r="D154" i="21"/>
  <c r="E154" i="21" s="1"/>
  <c r="D153" i="21"/>
  <c r="E153" i="21" s="1"/>
  <c r="D152" i="21"/>
  <c r="E152" i="21" s="1"/>
  <c r="D151" i="21"/>
  <c r="E151" i="21" s="1"/>
  <c r="D150" i="21"/>
  <c r="E150" i="21" s="1"/>
  <c r="E144" i="21"/>
  <c r="E143" i="21"/>
  <c r="E142" i="21"/>
  <c r="E141" i="21"/>
  <c r="E140" i="21"/>
  <c r="E139" i="21"/>
  <c r="E138" i="21"/>
  <c r="E137" i="21"/>
  <c r="E136" i="21"/>
  <c r="E135" i="21"/>
  <c r="E134" i="21"/>
  <c r="E133" i="21"/>
  <c r="E132" i="21"/>
  <c r="D179" i="24" l="1"/>
  <c r="E179" i="24" s="1"/>
  <c r="D87" i="28"/>
  <c r="D87" i="21"/>
  <c r="J64" i="14" l="1"/>
  <c r="D64" i="14"/>
  <c r="J29" i="14"/>
  <c r="D29" i="14"/>
  <c r="C245" i="28" l="1"/>
  <c r="E245" i="28" s="1"/>
  <c r="E83" i="21"/>
  <c r="C63" i="28"/>
  <c r="C104" i="28" s="1"/>
  <c r="E83" i="28"/>
  <c r="E255" i="28"/>
  <c r="D256" i="28" s="1"/>
  <c r="E256" i="28" s="1"/>
  <c r="E253" i="28"/>
  <c r="D254" i="28" s="1"/>
  <c r="E254" i="28" s="1"/>
  <c r="E244" i="28"/>
  <c r="E243" i="28"/>
  <c r="E242" i="28"/>
  <c r="E241" i="28"/>
  <c r="C232" i="28"/>
  <c r="E232" i="28" s="1"/>
  <c r="E230" i="28"/>
  <c r="D219" i="28"/>
  <c r="D217" i="28"/>
  <c r="C214" i="28"/>
  <c r="D215" i="28" s="1"/>
  <c r="D213" i="28"/>
  <c r="D211" i="28"/>
  <c r="D209" i="28"/>
  <c r="C201" i="28"/>
  <c r="E201" i="28" s="1"/>
  <c r="C200" i="28"/>
  <c r="E200" i="28" s="1"/>
  <c r="C199" i="28"/>
  <c r="C194" i="28"/>
  <c r="C189" i="28"/>
  <c r="D188" i="28"/>
  <c r="D183" i="28"/>
  <c r="E183" i="28" s="1"/>
  <c r="C175" i="28"/>
  <c r="C174" i="28"/>
  <c r="C171" i="28"/>
  <c r="C188" i="28" s="1"/>
  <c r="C170" i="28"/>
  <c r="C169" i="28"/>
  <c r="E166" i="28"/>
  <c r="C123" i="28"/>
  <c r="E123" i="28" s="1"/>
  <c r="C118" i="28"/>
  <c r="E118" i="28" s="1"/>
  <c r="D117" i="28"/>
  <c r="E117" i="28" s="1"/>
  <c r="D112" i="28"/>
  <c r="E112" i="28" s="1"/>
  <c r="D111" i="28"/>
  <c r="C111" i="28"/>
  <c r="E111" i="28" s="1"/>
  <c r="A111" i="28"/>
  <c r="D110" i="28"/>
  <c r="A110" i="28"/>
  <c r="C105" i="28"/>
  <c r="D90" i="28"/>
  <c r="E90" i="28" s="1"/>
  <c r="D89" i="28"/>
  <c r="E89" i="28" s="1"/>
  <c r="E87" i="28"/>
  <c r="E78" i="28"/>
  <c r="D76" i="28"/>
  <c r="C76" i="28"/>
  <c r="D74" i="28"/>
  <c r="E74" i="28" s="1"/>
  <c r="D73" i="28"/>
  <c r="C73" i="28"/>
  <c r="D71" i="28"/>
  <c r="E71" i="28" s="1"/>
  <c r="D70" i="28"/>
  <c r="E70" i="28" s="1"/>
  <c r="C70" i="28"/>
  <c r="E68" i="28"/>
  <c r="D57" i="28"/>
  <c r="E57" i="28" s="1"/>
  <c r="D56" i="28"/>
  <c r="E56" i="28" s="1"/>
  <c r="E55" i="28"/>
  <c r="D104" i="28" s="1"/>
  <c r="A48" i="28"/>
  <c r="A44" i="28"/>
  <c r="E43" i="28"/>
  <c r="A43" i="28"/>
  <c r="C145" i="28"/>
  <c r="A42" i="28"/>
  <c r="A36" i="28"/>
  <c r="A35" i="28"/>
  <c r="A34" i="28"/>
  <c r="A33" i="28"/>
  <c r="A32" i="28"/>
  <c r="A31" i="28"/>
  <c r="A30" i="28"/>
  <c r="A29" i="28"/>
  <c r="A28" i="28"/>
  <c r="A27" i="28"/>
  <c r="A26" i="28"/>
  <c r="A25" i="28"/>
  <c r="A24" i="28"/>
  <c r="A23" i="28"/>
  <c r="A22" i="28"/>
  <c r="A21" i="28"/>
  <c r="A20" i="28"/>
  <c r="A19" i="28"/>
  <c r="A18" i="28"/>
  <c r="A17" i="28"/>
  <c r="C110" i="28" l="1"/>
  <c r="E76" i="28"/>
  <c r="E110" i="28"/>
  <c r="E73" i="28"/>
  <c r="E104" i="28"/>
  <c r="D58" i="28"/>
  <c r="E58" i="28" s="1"/>
  <c r="D59" i="28" s="1"/>
  <c r="E59" i="28" s="1"/>
  <c r="E60" i="28" s="1"/>
  <c r="D233" i="28"/>
  <c r="E233" i="28" s="1"/>
  <c r="D234" i="28" s="1"/>
  <c r="D91" i="28"/>
  <c r="E91" i="28" s="1"/>
  <c r="C185" i="28"/>
  <c r="D199" i="28" s="1"/>
  <c r="E199" i="28" s="1"/>
  <c r="D202" i="28" s="1"/>
  <c r="E202" i="28" s="1"/>
  <c r="D169" i="28"/>
  <c r="E45" i="28"/>
  <c r="E169" i="28"/>
  <c r="D170" i="28" s="1"/>
  <c r="E170" i="28" s="1"/>
  <c r="E188" i="28"/>
  <c r="D220" i="28"/>
  <c r="E171" i="28"/>
  <c r="D145" i="28"/>
  <c r="E145" i="28" s="1"/>
  <c r="D157" i="28"/>
  <c r="E157" i="28" s="1"/>
  <c r="F247" i="28"/>
  <c r="F249" i="28" s="1"/>
  <c r="E34" i="28" s="1"/>
  <c r="F113" i="28"/>
  <c r="E22" i="28" s="1"/>
  <c r="D77" i="28"/>
  <c r="E77" i="28" s="1"/>
  <c r="E79" i="28" s="1"/>
  <c r="D93" i="28"/>
  <c r="E93" i="28" s="1"/>
  <c r="E94" i="28" s="1"/>
  <c r="D105" i="28"/>
  <c r="E105" i="28" s="1"/>
  <c r="F106" i="28" l="1"/>
  <c r="E21" i="28" s="1"/>
  <c r="C186" i="28"/>
  <c r="D187" i="28" s="1"/>
  <c r="E187" i="28" s="1"/>
  <c r="C190" i="28"/>
  <c r="D174" i="28"/>
  <c r="E174" i="28" s="1"/>
  <c r="D175" i="28" s="1"/>
  <c r="E175" i="28" s="1"/>
  <c r="E176" i="28" s="1"/>
  <c r="E177" i="28" s="1"/>
  <c r="D178" i="28" s="1"/>
  <c r="E178" i="28" s="1"/>
  <c r="D61" i="28"/>
  <c r="D80" i="28"/>
  <c r="D95" i="28"/>
  <c r="C191" i="28" l="1"/>
  <c r="D192" i="28" s="1"/>
  <c r="E192" i="28" s="1"/>
  <c r="E193" i="28" s="1"/>
  <c r="D194" i="28" s="1"/>
  <c r="E194" i="28" s="1"/>
  <c r="C248" i="24"/>
  <c r="C134" i="24"/>
  <c r="C135" i="24"/>
  <c r="C105" i="21"/>
  <c r="C120" i="24" l="1"/>
  <c r="C129" i="24" s="1"/>
  <c r="C65" i="24"/>
  <c r="D20" i="10"/>
  <c r="D22" i="10" s="1"/>
  <c r="C20" i="10"/>
  <c r="C22" i="10" s="1"/>
  <c r="C271" i="24" s="1"/>
  <c r="D271" i="24" s="1"/>
  <c r="B20" i="10"/>
  <c r="B22" i="10" s="1"/>
  <c r="A25" i="24" l="1"/>
  <c r="A26" i="24"/>
  <c r="C136" i="24" l="1"/>
  <c r="D135" i="24"/>
  <c r="C127" i="24"/>
  <c r="D136" i="24"/>
  <c r="C128" i="24"/>
  <c r="E135" i="24" l="1"/>
  <c r="C245" i="21"/>
  <c r="E245" i="21" s="1"/>
  <c r="E244" i="21"/>
  <c r="C214" i="21"/>
  <c r="D145" i="21" l="1"/>
  <c r="D111" i="21"/>
  <c r="E85" i="24"/>
  <c r="C123" i="21" l="1"/>
  <c r="D112" i="21"/>
  <c r="C111" i="21"/>
  <c r="C110" i="21"/>
  <c r="C104" i="21"/>
  <c r="C36" i="26"/>
  <c r="C30" i="26"/>
  <c r="C33" i="26" s="1"/>
  <c r="C26" i="26"/>
  <c r="C18" i="26"/>
  <c r="C35" i="26" l="1"/>
  <c r="C37" i="26" s="1"/>
  <c r="C38" i="26" s="1"/>
  <c r="C61" i="28"/>
  <c r="E61" i="28" s="1"/>
  <c r="E62" i="28" s="1"/>
  <c r="D63" i="28" s="1"/>
  <c r="E63" i="28" s="1"/>
  <c r="C80" i="28"/>
  <c r="E80" i="28" s="1"/>
  <c r="E81" i="28" s="1"/>
  <c r="D82" i="28" s="1"/>
  <c r="E82" i="28" s="1"/>
  <c r="F83" i="28" s="1"/>
  <c r="E19" i="28" s="1"/>
  <c r="C95" i="28"/>
  <c r="E95" i="28" s="1"/>
  <c r="E96" i="28" s="1"/>
  <c r="D97" i="28" s="1"/>
  <c r="E97" i="28" s="1"/>
  <c r="C118" i="24"/>
  <c r="C97" i="24"/>
  <c r="C82" i="24"/>
  <c r="C63" i="24"/>
  <c r="C61" i="21"/>
  <c r="C95" i="21"/>
  <c r="C80" i="21"/>
  <c r="D134" i="24"/>
  <c r="D110" i="21"/>
  <c r="D57" i="24"/>
  <c r="A24" i="21" l="1"/>
  <c r="E123" i="21"/>
  <c r="D117" i="21"/>
  <c r="E118" i="21"/>
  <c r="E112" i="21"/>
  <c r="E117" i="21" l="1"/>
  <c r="E166" i="21" l="1"/>
  <c r="D169" i="21" s="1"/>
  <c r="C169" i="21"/>
  <c r="C170" i="21"/>
  <c r="C171" i="21"/>
  <c r="E171" i="21" s="1"/>
  <c r="D174" i="21" s="1"/>
  <c r="C174" i="21"/>
  <c r="C175" i="21"/>
  <c r="F272" i="24"/>
  <c r="F274" i="24" s="1"/>
  <c r="E264" i="24"/>
  <c r="C255" i="24"/>
  <c r="E255" i="24" s="1"/>
  <c r="E253" i="24"/>
  <c r="E248" i="24"/>
  <c r="D242" i="24"/>
  <c r="D240" i="24"/>
  <c r="D238" i="24"/>
  <c r="D236" i="24"/>
  <c r="D234" i="24"/>
  <c r="C234" i="24"/>
  <c r="C242" i="24" s="1"/>
  <c r="C224" i="24"/>
  <c r="E224" i="24" s="1"/>
  <c r="C223" i="24"/>
  <c r="E223" i="24" s="1"/>
  <c r="C222" i="24"/>
  <c r="C217" i="24"/>
  <c r="C212" i="24"/>
  <c r="D211" i="24"/>
  <c r="D206" i="24"/>
  <c r="E206" i="24" s="1"/>
  <c r="C199" i="24"/>
  <c r="C198" i="24"/>
  <c r="C195" i="24"/>
  <c r="C211" i="24" s="1"/>
  <c r="E211" i="24" s="1"/>
  <c r="C194" i="24"/>
  <c r="C193" i="24"/>
  <c r="E190" i="24"/>
  <c r="D222" i="24" s="1"/>
  <c r="E141" i="24"/>
  <c r="E136" i="24"/>
  <c r="A141" i="24"/>
  <c r="C116" i="24"/>
  <c r="D113" i="24"/>
  <c r="C113" i="24"/>
  <c r="D111" i="24"/>
  <c r="E111" i="24" s="1"/>
  <c r="D110" i="24"/>
  <c r="C110" i="24"/>
  <c r="D108" i="24"/>
  <c r="E108" i="24" s="1"/>
  <c r="D107" i="24"/>
  <c r="E107" i="24" s="1"/>
  <c r="C107" i="24"/>
  <c r="E104" i="24"/>
  <c r="D92" i="24"/>
  <c r="E92" i="24" s="1"/>
  <c r="D91" i="24"/>
  <c r="E91" i="24" s="1"/>
  <c r="E89" i="24"/>
  <c r="D128" i="24" s="1"/>
  <c r="C80" i="24"/>
  <c r="E80" i="24" s="1"/>
  <c r="D78" i="24"/>
  <c r="C78" i="24"/>
  <c r="D76" i="24"/>
  <c r="E76" i="24" s="1"/>
  <c r="D75" i="24"/>
  <c r="C75" i="24"/>
  <c r="D73" i="24"/>
  <c r="E73" i="24" s="1"/>
  <c r="D72" i="24"/>
  <c r="E72" i="24" s="1"/>
  <c r="C72" i="24"/>
  <c r="E70" i="24"/>
  <c r="D59" i="24"/>
  <c r="E59" i="24" s="1"/>
  <c r="D58" i="24"/>
  <c r="E58" i="24" s="1"/>
  <c r="E57" i="24"/>
  <c r="D127" i="24" s="1"/>
  <c r="A50" i="24"/>
  <c r="A46" i="24"/>
  <c r="E45" i="24"/>
  <c r="C167" i="24" s="1"/>
  <c r="A45" i="24"/>
  <c r="E44" i="24"/>
  <c r="A44" i="24"/>
  <c r="A43" i="24"/>
  <c r="A37" i="24"/>
  <c r="A36" i="24"/>
  <c r="A35" i="24"/>
  <c r="A34" i="24"/>
  <c r="A33" i="24"/>
  <c r="A32" i="24"/>
  <c r="A31" i="24"/>
  <c r="A30" i="24"/>
  <c r="A29" i="24"/>
  <c r="A28" i="24"/>
  <c r="A27" i="24"/>
  <c r="A24" i="24"/>
  <c r="A23" i="24"/>
  <c r="A22" i="24"/>
  <c r="A21" i="24"/>
  <c r="A20" i="24"/>
  <c r="A19" i="24"/>
  <c r="A18" i="24"/>
  <c r="A17" i="24"/>
  <c r="C16" i="22"/>
  <c r="C21" i="22" s="1"/>
  <c r="C265" i="28" s="1"/>
  <c r="F14" i="22"/>
  <c r="E14" i="22"/>
  <c r="D14" i="22"/>
  <c r="E255" i="21"/>
  <c r="D256" i="21" s="1"/>
  <c r="E256" i="21" s="1"/>
  <c r="E253" i="21"/>
  <c r="D254" i="21" s="1"/>
  <c r="E254" i="21" s="1"/>
  <c r="E246" i="21"/>
  <c r="E243" i="21"/>
  <c r="E242" i="21"/>
  <c r="E241" i="21"/>
  <c r="C232" i="21"/>
  <c r="E232" i="21" s="1"/>
  <c r="E230" i="21"/>
  <c r="D219" i="21"/>
  <c r="D217" i="21"/>
  <c r="D215" i="21"/>
  <c r="D213" i="21"/>
  <c r="D211" i="21"/>
  <c r="D209" i="21"/>
  <c r="C201" i="21"/>
  <c r="E201" i="21" s="1"/>
  <c r="C200" i="21"/>
  <c r="E200" i="21" s="1"/>
  <c r="C199" i="21"/>
  <c r="C194" i="21"/>
  <c r="C189" i="21"/>
  <c r="D188" i="21"/>
  <c r="D183" i="21"/>
  <c r="E183" i="21" s="1"/>
  <c r="E111" i="21"/>
  <c r="A111" i="21"/>
  <c r="E110" i="21"/>
  <c r="A110" i="21"/>
  <c r="D90" i="21"/>
  <c r="E90" i="21" s="1"/>
  <c r="D89" i="21"/>
  <c r="E89" i="21" s="1"/>
  <c r="E87" i="21"/>
  <c r="E78" i="21"/>
  <c r="D76" i="21"/>
  <c r="C76" i="21"/>
  <c r="D74" i="21"/>
  <c r="E74" i="21" s="1"/>
  <c r="D73" i="21"/>
  <c r="C73" i="21"/>
  <c r="D71" i="21"/>
  <c r="E71" i="21" s="1"/>
  <c r="D70" i="21"/>
  <c r="E70" i="21" s="1"/>
  <c r="C70" i="21"/>
  <c r="E68" i="21"/>
  <c r="D57" i="21"/>
  <c r="E57" i="21" s="1"/>
  <c r="D56" i="21"/>
  <c r="E56" i="21" s="1"/>
  <c r="E55" i="21"/>
  <c r="E48" i="21"/>
  <c r="A48" i="21"/>
  <c r="E44" i="21"/>
  <c r="C157" i="21" s="1"/>
  <c r="A44" i="21"/>
  <c r="E43" i="21"/>
  <c r="A43" i="21"/>
  <c r="E42" i="21"/>
  <c r="C145" i="21" s="1"/>
  <c r="A42" i="21"/>
  <c r="A36" i="21"/>
  <c r="A35" i="21"/>
  <c r="A34" i="21"/>
  <c r="A33" i="21"/>
  <c r="A32" i="21"/>
  <c r="A31" i="21"/>
  <c r="A30" i="21"/>
  <c r="A29" i="21"/>
  <c r="A28" i="21"/>
  <c r="A27" i="21"/>
  <c r="A26" i="21"/>
  <c r="A25" i="21"/>
  <c r="A23" i="21"/>
  <c r="A22" i="21"/>
  <c r="A21" i="21"/>
  <c r="A20" i="21"/>
  <c r="A19" i="21"/>
  <c r="A18" i="21"/>
  <c r="A17" i="21"/>
  <c r="E36" i="24" l="1"/>
  <c r="C265" i="21"/>
  <c r="C280" i="24"/>
  <c r="F249" i="24"/>
  <c r="E33" i="24" s="1"/>
  <c r="E242" i="24"/>
  <c r="C146" i="24"/>
  <c r="E146" i="24" s="1"/>
  <c r="E113" i="24"/>
  <c r="E134" i="24"/>
  <c r="F137" i="24" s="1"/>
  <c r="D129" i="24"/>
  <c r="E129" i="24" s="1"/>
  <c r="E128" i="24"/>
  <c r="E78" i="24"/>
  <c r="D93" i="24"/>
  <c r="E93" i="24" s="1"/>
  <c r="D95" i="24" s="1"/>
  <c r="E95" i="24" s="1"/>
  <c r="E96" i="24" s="1"/>
  <c r="F265" i="24"/>
  <c r="F267" i="24" s="1"/>
  <c r="E35" i="24" s="1"/>
  <c r="E110" i="24"/>
  <c r="D220" i="21"/>
  <c r="C185" i="21"/>
  <c r="D199" i="21" s="1"/>
  <c r="E199" i="21" s="1"/>
  <c r="D202" i="21" s="1"/>
  <c r="E202" i="21" s="1"/>
  <c r="E73" i="21"/>
  <c r="C188" i="21"/>
  <c r="E188" i="21" s="1"/>
  <c r="D104" i="21"/>
  <c r="E104" i="21" s="1"/>
  <c r="D105" i="21"/>
  <c r="E105" i="21" s="1"/>
  <c r="E45" i="21"/>
  <c r="E76" i="21"/>
  <c r="D58" i="21"/>
  <c r="E58" i="21" s="1"/>
  <c r="D59" i="21" s="1"/>
  <c r="E59" i="21" s="1"/>
  <c r="E60" i="21" s="1"/>
  <c r="F113" i="21"/>
  <c r="E22" i="21" s="1"/>
  <c r="D91" i="21"/>
  <c r="E91" i="21" s="1"/>
  <c r="D93" i="21" s="1"/>
  <c r="E93" i="21" s="1"/>
  <c r="E94" i="21" s="1"/>
  <c r="D60" i="24"/>
  <c r="E60" i="24" s="1"/>
  <c r="F247" i="21"/>
  <c r="F249" i="21" s="1"/>
  <c r="E34" i="21" s="1"/>
  <c r="E145" i="21"/>
  <c r="D256" i="24"/>
  <c r="E256" i="24" s="1"/>
  <c r="D257" i="24" s="1"/>
  <c r="E257" i="24" s="1"/>
  <c r="F258" i="24" s="1"/>
  <c r="E34" i="24" s="1"/>
  <c r="D167" i="24"/>
  <c r="E169" i="21"/>
  <c r="D170" i="21" s="1"/>
  <c r="E170" i="21" s="1"/>
  <c r="E75" i="24"/>
  <c r="D243" i="24"/>
  <c r="D61" i="24"/>
  <c r="E61" i="24" s="1"/>
  <c r="E174" i="21"/>
  <c r="D175" i="21" s="1"/>
  <c r="E175" i="21" s="1"/>
  <c r="E222" i="24"/>
  <c r="D225" i="24" s="1"/>
  <c r="E225" i="24" s="1"/>
  <c r="E47" i="24"/>
  <c r="E127" i="24"/>
  <c r="D193" i="24"/>
  <c r="E193" i="24" s="1"/>
  <c r="D194" i="24" s="1"/>
  <c r="E194" i="24" s="1"/>
  <c r="E195" i="24"/>
  <c r="C208" i="24"/>
  <c r="C236" i="24"/>
  <c r="E236" i="24" s="1"/>
  <c r="C240" i="24"/>
  <c r="E240" i="24" s="1"/>
  <c r="E234" i="24"/>
  <c r="C238" i="24"/>
  <c r="E238" i="24" s="1"/>
  <c r="D233" i="21"/>
  <c r="E233" i="21" s="1"/>
  <c r="D234" i="21" s="1"/>
  <c r="E176" i="21" l="1"/>
  <c r="E177" i="21" s="1"/>
  <c r="D178" i="21" s="1"/>
  <c r="E178" i="21" s="1"/>
  <c r="E23" i="24"/>
  <c r="E167" i="24"/>
  <c r="F168" i="24" s="1"/>
  <c r="D79" i="24"/>
  <c r="E79" i="24" s="1"/>
  <c r="E81" i="24" s="1"/>
  <c r="D82" i="24" s="1"/>
  <c r="D114" i="24"/>
  <c r="E114" i="24" s="1"/>
  <c r="D116" i="24" s="1"/>
  <c r="E116" i="24" s="1"/>
  <c r="E117" i="24" s="1"/>
  <c r="D118" i="24" s="1"/>
  <c r="F130" i="24"/>
  <c r="E22" i="24" s="1"/>
  <c r="F180" i="24"/>
  <c r="F106" i="21"/>
  <c r="E21" i="21" s="1"/>
  <c r="D77" i="21"/>
  <c r="E77" i="21" s="1"/>
  <c r="E79" i="21" s="1"/>
  <c r="D80" i="21" s="1"/>
  <c r="E62" i="24"/>
  <c r="D63" i="24" s="1"/>
  <c r="D157" i="21"/>
  <c r="E157" i="21" s="1"/>
  <c r="F244" i="24"/>
  <c r="E32" i="24" s="1"/>
  <c r="D97" i="24"/>
  <c r="C213" i="24"/>
  <c r="D198" i="24"/>
  <c r="E198" i="24" s="1"/>
  <c r="D199" i="24" s="1"/>
  <c r="E199" i="24" s="1"/>
  <c r="E200" i="24" s="1"/>
  <c r="D201" i="24" s="1"/>
  <c r="E201" i="24" s="1"/>
  <c r="C209" i="24"/>
  <c r="D210" i="24" s="1"/>
  <c r="E210" i="24" s="1"/>
  <c r="C186" i="21"/>
  <c r="C190" i="21"/>
  <c r="D95" i="21"/>
  <c r="D61" i="21"/>
  <c r="E61" i="21" s="1"/>
  <c r="F182" i="24" l="1"/>
  <c r="E26" i="24" s="1"/>
  <c r="D187" i="21"/>
  <c r="E187" i="21" s="1"/>
  <c r="E82" i="24"/>
  <c r="E83" i="24" s="1"/>
  <c r="D84" i="24" s="1"/>
  <c r="E84" i="24" s="1"/>
  <c r="F85" i="24" s="1"/>
  <c r="E19" i="24" s="1"/>
  <c r="E80" i="21"/>
  <c r="E81" i="21" s="1"/>
  <c r="D82" i="21" s="1"/>
  <c r="E82" i="21" s="1"/>
  <c r="F83" i="21" s="1"/>
  <c r="E97" i="24"/>
  <c r="E98" i="24" s="1"/>
  <c r="D99" i="24" s="1"/>
  <c r="E99" i="24" s="1"/>
  <c r="F100" i="24" s="1"/>
  <c r="E20" i="24" s="1"/>
  <c r="E95" i="21"/>
  <c r="E96" i="21" s="1"/>
  <c r="D97" i="21" s="1"/>
  <c r="E97" i="21" s="1"/>
  <c r="E63" i="24"/>
  <c r="E64" i="24" s="1"/>
  <c r="D65" i="24" s="1"/>
  <c r="E65" i="24" s="1"/>
  <c r="F66" i="24" s="1"/>
  <c r="E18" i="24" s="1"/>
  <c r="E62" i="21"/>
  <c r="D63" i="21" s="1"/>
  <c r="E63" i="21" s="1"/>
  <c r="E118" i="24"/>
  <c r="E119" i="24" s="1"/>
  <c r="D120" i="24" s="1"/>
  <c r="E120" i="24" s="1"/>
  <c r="F121" i="24" s="1"/>
  <c r="E21" i="24" s="1"/>
  <c r="C214" i="24"/>
  <c r="D215" i="24" s="1"/>
  <c r="E215" i="24" s="1"/>
  <c r="E216" i="24" s="1"/>
  <c r="D217" i="24" s="1"/>
  <c r="E217" i="24" s="1"/>
  <c r="C191" i="21"/>
  <c r="D192" i="21" s="1"/>
  <c r="E192" i="21" s="1"/>
  <c r="E19" i="21" l="1"/>
  <c r="E193" i="21"/>
  <c r="D194" i="21" s="1"/>
  <c r="E194" i="21" s="1"/>
  <c r="J88" i="14"/>
  <c r="D88" i="14"/>
  <c r="J85" i="14"/>
  <c r="J90" i="14" s="1"/>
  <c r="D85" i="14"/>
  <c r="D90" i="14" s="1"/>
  <c r="J61" i="14"/>
  <c r="D61" i="14"/>
  <c r="J26" i="14"/>
  <c r="D26" i="14"/>
  <c r="D31" i="14" s="1"/>
  <c r="D66" i="14" l="1"/>
  <c r="J66" i="14"/>
  <c r="J31" i="14"/>
  <c r="J27" i="14"/>
  <c r="J62" i="14"/>
  <c r="J86" i="14"/>
  <c r="D27" i="14"/>
  <c r="D62" i="14"/>
  <c r="D86" i="14"/>
  <c r="P12" i="14" l="1"/>
  <c r="P28" i="14"/>
  <c r="P9" i="14"/>
  <c r="P24" i="14"/>
  <c r="P10" i="14"/>
  <c r="P27" i="14"/>
  <c r="P11" i="14"/>
  <c r="P25" i="14"/>
  <c r="P7" i="14"/>
  <c r="P23" i="14"/>
  <c r="P8" i="14"/>
  <c r="P14" i="14" s="1"/>
  <c r="P15" i="14" s="1"/>
  <c r="P16" i="14" s="1"/>
  <c r="B206" i="21" s="1"/>
  <c r="P26" i="14"/>
  <c r="P30" i="14" l="1"/>
  <c r="C209" i="21"/>
  <c r="C234" i="21"/>
  <c r="E234" i="21" s="1"/>
  <c r="F235" i="21" s="1"/>
  <c r="E33" i="21" s="1"/>
  <c r="F40" i="11"/>
  <c r="F43" i="11" s="1"/>
  <c r="F45" i="11" s="1"/>
  <c r="B52" i="24" s="1"/>
  <c r="E147" i="24" s="1"/>
  <c r="F147" i="24" s="1"/>
  <c r="F23" i="11"/>
  <c r="F26" i="11" s="1"/>
  <c r="F28" i="11" s="1"/>
  <c r="F30" i="11" s="1"/>
  <c r="F11" i="11"/>
  <c r="F14" i="11" s="1"/>
  <c r="F16" i="11" s="1"/>
  <c r="B50" i="28" s="1"/>
  <c r="P31" i="14" l="1"/>
  <c r="P32" i="14" s="1"/>
  <c r="B206" i="28" s="1"/>
  <c r="E179" i="28"/>
  <c r="F179" i="28" s="1"/>
  <c r="E64" i="28"/>
  <c r="E119" i="28"/>
  <c r="F119" i="28" s="1"/>
  <c r="E23" i="28" s="1"/>
  <c r="E195" i="28"/>
  <c r="F195" i="28" s="1"/>
  <c r="E29" i="28" s="1"/>
  <c r="E25" i="24"/>
  <c r="C219" i="21"/>
  <c r="E219" i="21" s="1"/>
  <c r="C225" i="21"/>
  <c r="E225" i="21" s="1"/>
  <c r="F226" i="21" s="1"/>
  <c r="E32" i="21" s="1"/>
  <c r="C211" i="21"/>
  <c r="E211" i="21" s="1"/>
  <c r="E209" i="21"/>
  <c r="C217" i="21"/>
  <c r="E217" i="21" s="1"/>
  <c r="C215" i="21"/>
  <c r="E215" i="21" s="1"/>
  <c r="C213" i="21"/>
  <c r="E213" i="21" s="1"/>
  <c r="F18" i="11"/>
  <c r="B50" i="21"/>
  <c r="E64" i="21" s="1"/>
  <c r="F64" i="21" s="1"/>
  <c r="E226" i="24"/>
  <c r="F226" i="24" s="1"/>
  <c r="E31" i="24" s="1"/>
  <c r="E202" i="24"/>
  <c r="F202" i="24" s="1"/>
  <c r="E142" i="24"/>
  <c r="F142" i="24" s="1"/>
  <c r="F149" i="24" s="1"/>
  <c r="E218" i="24"/>
  <c r="F218" i="24" s="1"/>
  <c r="E30" i="24" s="1"/>
  <c r="F47" i="11"/>
  <c r="C209" i="28" l="1"/>
  <c r="C234" i="28"/>
  <c r="E234" i="28" s="1"/>
  <c r="F235" i="28" s="1"/>
  <c r="E33" i="28" s="1"/>
  <c r="E146" i="28"/>
  <c r="F146" i="28" s="1"/>
  <c r="E125" i="28"/>
  <c r="F125" i="28" s="1"/>
  <c r="E24" i="28" s="1"/>
  <c r="E203" i="28"/>
  <c r="F203" i="28" s="1"/>
  <c r="E30" i="28" s="1"/>
  <c r="F64" i="28"/>
  <c r="E18" i="28" s="1"/>
  <c r="E98" i="21"/>
  <c r="E257" i="21" s="1"/>
  <c r="F257" i="21" s="1"/>
  <c r="F259" i="21" s="1"/>
  <c r="E35" i="21" s="1"/>
  <c r="E98" i="28"/>
  <c r="E28" i="28"/>
  <c r="E158" i="21"/>
  <c r="F158" i="21" s="1"/>
  <c r="E24" i="24"/>
  <c r="E146" i="21"/>
  <c r="F146" i="21" s="1"/>
  <c r="E203" i="21"/>
  <c r="F203" i="21" s="1"/>
  <c r="E30" i="21" s="1"/>
  <c r="E125" i="21"/>
  <c r="F125" i="21" s="1"/>
  <c r="E24" i="21" s="1"/>
  <c r="F221" i="21"/>
  <c r="E31" i="21" s="1"/>
  <c r="E195" i="21"/>
  <c r="F195" i="21" s="1"/>
  <c r="E29" i="21" s="1"/>
  <c r="E119" i="21"/>
  <c r="F119" i="21" s="1"/>
  <c r="E179" i="21"/>
  <c r="F179" i="21" s="1"/>
  <c r="E29" i="24"/>
  <c r="F260" i="24"/>
  <c r="E27" i="24" s="1"/>
  <c r="C211" i="28" l="1"/>
  <c r="E211" i="28" s="1"/>
  <c r="C219" i="28"/>
  <c r="E219" i="28" s="1"/>
  <c r="C217" i="28"/>
  <c r="E217" i="28" s="1"/>
  <c r="E209" i="28"/>
  <c r="C213" i="28"/>
  <c r="E213" i="28" s="1"/>
  <c r="C225" i="28"/>
  <c r="E225" i="28" s="1"/>
  <c r="F226" i="28" s="1"/>
  <c r="E32" i="28" s="1"/>
  <c r="C215" i="28"/>
  <c r="E215" i="28" s="1"/>
  <c r="F160" i="21"/>
  <c r="E25" i="21" s="1"/>
  <c r="F98" i="21"/>
  <c r="F127" i="21" s="1"/>
  <c r="F276" i="24"/>
  <c r="E20" i="21"/>
  <c r="E257" i="28"/>
  <c r="F257" i="28" s="1"/>
  <c r="F259" i="28" s="1"/>
  <c r="E35" i="28" s="1"/>
  <c r="E158" i="28"/>
  <c r="F158" i="28" s="1"/>
  <c r="F160" i="28" s="1"/>
  <c r="E25" i="28" s="1"/>
  <c r="F98" i="28"/>
  <c r="F127" i="28" s="1"/>
  <c r="E18" i="21"/>
  <c r="E23" i="21"/>
  <c r="E28" i="24"/>
  <c r="F237" i="21"/>
  <c r="E26" i="21" s="1"/>
  <c r="E28" i="21"/>
  <c r="E27" i="21" s="1"/>
  <c r="E17" i="24"/>
  <c r="F221" i="28" l="1"/>
  <c r="E20" i="28"/>
  <c r="F261" i="21"/>
  <c r="D280" i="24"/>
  <c r="E280" i="24" s="1"/>
  <c r="F281" i="24" s="1"/>
  <c r="F283" i="24" s="1"/>
  <c r="E37" i="24" s="1"/>
  <c r="E38" i="24" s="1"/>
  <c r="F25" i="24" s="1"/>
  <c r="C15" i="9"/>
  <c r="E31" i="28" l="1"/>
  <c r="E27" i="28" s="1"/>
  <c r="F237" i="28"/>
  <c r="E26" i="28" s="1"/>
  <c r="E17" i="28"/>
  <c r="F261" i="28"/>
  <c r="F37" i="24"/>
  <c r="F34" i="24"/>
  <c r="F23" i="24"/>
  <c r="F36" i="24"/>
  <c r="F32" i="24"/>
  <c r="F22" i="24"/>
  <c r="F21" i="24"/>
  <c r="F35" i="24"/>
  <c r="F33" i="24"/>
  <c r="F18" i="24"/>
  <c r="F19" i="24"/>
  <c r="F26" i="24"/>
  <c r="F20" i="24"/>
  <c r="F31" i="24"/>
  <c r="F30" i="24"/>
  <c r="F29" i="24"/>
  <c r="F27" i="24"/>
  <c r="F24" i="24"/>
  <c r="F17" i="24"/>
  <c r="F28" i="24"/>
  <c r="F285" i="24"/>
  <c r="C6" i="27" s="1"/>
  <c r="C16" i="9"/>
  <c r="C18" i="9"/>
  <c r="C23" i="9" s="1"/>
  <c r="C25" i="9" s="1"/>
  <c r="D265" i="28" l="1"/>
  <c r="E265" i="28" s="1"/>
  <c r="F266" i="28" s="1"/>
  <c r="F268" i="28" s="1"/>
  <c r="E36" i="28" s="1"/>
  <c r="F289" i="24"/>
  <c r="F38" i="24"/>
  <c r="F270" i="28" l="1"/>
  <c r="F275" i="28" s="1"/>
  <c r="E37" i="28"/>
  <c r="F36" i="28" s="1"/>
  <c r="E17" i="21"/>
  <c r="C5" i="27" l="1"/>
  <c r="F17" i="28"/>
  <c r="F34" i="28"/>
  <c r="F32" i="28"/>
  <c r="F21" i="28"/>
  <c r="F22" i="28"/>
  <c r="F31" i="28"/>
  <c r="F33" i="28"/>
  <c r="F19" i="28"/>
  <c r="F23" i="28"/>
  <c r="F29" i="28"/>
  <c r="F18" i="28"/>
  <c r="F24" i="28"/>
  <c r="F26" i="28"/>
  <c r="F30" i="28"/>
  <c r="F28" i="28"/>
  <c r="F25" i="28"/>
  <c r="F27" i="28"/>
  <c r="F35" i="28"/>
  <c r="F20" i="28"/>
  <c r="D265" i="21"/>
  <c r="E265" i="21" s="1"/>
  <c r="F266" i="21" s="1"/>
  <c r="F268" i="21" s="1"/>
  <c r="E36" i="21" s="1"/>
  <c r="F37" i="28" l="1"/>
  <c r="E37" i="21"/>
  <c r="F270" i="21"/>
  <c r="C4" i="27" s="1"/>
  <c r="C8" i="27" l="1"/>
  <c r="F36" i="21"/>
  <c r="F24" i="21"/>
  <c r="F275" i="21"/>
  <c r="F34" i="21"/>
  <c r="F25" i="21"/>
  <c r="F30" i="21"/>
  <c r="F33" i="21"/>
  <c r="F31" i="21"/>
  <c r="F29" i="21"/>
  <c r="F28" i="21"/>
  <c r="F27" i="21"/>
  <c r="F22" i="21"/>
  <c r="F21" i="21"/>
  <c r="F35" i="21"/>
  <c r="F32" i="21"/>
  <c r="F19" i="21"/>
  <c r="F18" i="21"/>
  <c r="F20" i="21"/>
  <c r="F23" i="21"/>
  <c r="F26" i="21"/>
  <c r="F17" i="21"/>
  <c r="F37" i="2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Clauber Bridi</author>
  </authors>
  <commentList>
    <comment ref="A15" authorId="0" shapeId="0" xr:uid="{00000000-0006-0000-0100-000001000000}">
      <text>
        <r>
          <rPr>
            <sz val="9"/>
            <color indexed="81"/>
            <rFont val="Tahoma"/>
            <family val="2"/>
          </rPr>
          <t>Qualquer custo previsto no edital e não contemplado nesta planilha modelo deverá ser devidamente incluído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Informar o fator de utilização das equipes de coleta. 
Por exemplo:
Equipes com utilização integral = 100%
Equipes com utilização parcial = n° horas trabalhadas por semana /44 horas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6" authorId="0" shapeId="0" xr:uid="{00000000-0006-0000-0100-000003000000}">
      <text>
        <r>
          <rPr>
            <sz val="9"/>
            <color indexed="81"/>
            <rFont val="Tahoma"/>
            <family val="2"/>
          </rPr>
          <t>Informar o número de horas extras trabalhadas nos domingos e feriados em horário diurno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7" authorId="0" shapeId="0" xr:uid="{00000000-0006-0000-0100-000004000000}">
      <text>
        <r>
          <rPr>
            <sz val="9"/>
            <color indexed="81"/>
            <rFont val="Tahoma"/>
            <family val="2"/>
          </rPr>
          <t xml:space="preserve">Informar o número de horas extras trabalhadas em horário diurno de segunda a sábado 
</t>
        </r>
      </text>
    </comment>
    <comment ref="A58" authorId="0" shapeId="0" xr:uid="{00000000-0006-0000-0100-000005000000}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Considerada a média de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1" authorId="0" shapeId="0" xr:uid="{00000000-0006-0000-0100-000006000000}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63" authorId="0" shapeId="0" xr:uid="{00000000-0006-0000-0100-000007000000}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C69" authorId="0" shapeId="0" xr:uid="{00000000-0006-0000-0100-000008000000}">
      <text>
        <r>
          <rPr>
            <sz val="9"/>
            <color indexed="81"/>
            <rFont val="Tahoma"/>
            <family val="2"/>
          </rPr>
          <t>Informar o número de horas noturnas trabalhadas no intervalo das 22:00h as 5:00h</t>
        </r>
      </text>
    </comment>
    <comment ref="C71" authorId="0" shapeId="0" xr:uid="{00000000-0006-0000-0100-000009000000}">
      <text>
        <r>
          <rPr>
            <sz val="9"/>
            <color indexed="81"/>
            <rFont val="Tahoma"/>
            <family val="2"/>
          </rPr>
          <t>Informar o número de horas extras trabalhadas em horário diurno nos domingos e feriados</t>
        </r>
      </text>
    </comment>
    <comment ref="C72" authorId="0" shapeId="0" xr:uid="{00000000-0006-0000-0100-00000A000000}">
      <text>
        <r>
          <rPr>
            <sz val="9"/>
            <color indexed="81"/>
            <rFont val="Tahoma"/>
            <family val="2"/>
          </rPr>
          <t xml:space="preserve">Informar o número de horas extras trabalhadas em horário noturno (das 22:00h as 5h) nos domingos e feriados
</t>
        </r>
      </text>
    </comment>
    <comment ref="C74" authorId="0" shapeId="0" xr:uid="{00000000-0006-0000-0100-00000B000000}">
      <text>
        <r>
          <rPr>
            <sz val="9"/>
            <color indexed="81"/>
            <rFont val="Tahoma"/>
            <family val="2"/>
          </rPr>
          <t>Informar o número de horas extras trabalhadas em horário noturno de segunda à sábado</t>
        </r>
      </text>
    </comment>
    <comment ref="C75" authorId="0" shapeId="0" xr:uid="{00000000-0006-0000-0100-00000C000000}">
      <text>
        <r>
          <rPr>
            <sz val="9"/>
            <color indexed="81"/>
            <rFont val="Tahoma"/>
            <family val="2"/>
          </rPr>
          <t>Informar o número de horas extras trabalhadas em horário noturno (das 22:00h as 5h) de segunda a sábado</t>
        </r>
      </text>
    </comment>
    <comment ref="A77" authorId="0" shapeId="0" xr:uid="{00000000-0006-0000-0100-00000D000000}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Considerados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0" authorId="0" shapeId="0" xr:uid="{00000000-0006-0000-0100-00000E000000}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82" authorId="0" shapeId="0" xr:uid="{00000000-0006-0000-0100-00000F000000}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88" authorId="0" shapeId="0" xr:uid="{00000000-0006-0000-0100-000010000000}">
      <text>
        <r>
          <rPr>
            <sz val="9"/>
            <color indexed="81"/>
            <rFont val="Tahoma"/>
            <family val="2"/>
          </rPr>
          <t>Informar o valor do salário Mínimo Nacional</t>
        </r>
      </text>
    </comment>
    <comment ref="C89" authorId="0" shapeId="0" xr:uid="{00000000-0006-0000-0100-000011000000}">
      <text>
        <r>
          <rPr>
            <sz val="9"/>
            <color indexed="81"/>
            <rFont val="Tahoma"/>
            <family val="2"/>
          </rPr>
          <t>Informar o número de horas extras trabalhadas em horário diurno nos domingos e feriados</t>
        </r>
      </text>
    </comment>
    <comment ref="C90" authorId="0" shapeId="0" xr:uid="{00000000-0006-0000-0100-000012000000}">
      <text>
        <r>
          <rPr>
            <sz val="9"/>
            <color indexed="81"/>
            <rFont val="Tahoma"/>
            <family val="2"/>
          </rPr>
          <t xml:space="preserve">Informar o número de horas extras trabalhadas em horário diurno de segunda a sábado 
</t>
        </r>
      </text>
    </comment>
    <comment ref="A91" authorId="0" shapeId="0" xr:uid="{00000000-0006-0000-0100-000013000000}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Considerada a média de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2" authorId="0" shapeId="0" xr:uid="{00000000-0006-0000-0100-000014000000}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C93" authorId="0" shapeId="0" xr:uid="{00000000-0006-0000-0100-000015000000}">
      <text>
        <r>
          <rPr>
            <sz val="9"/>
            <color indexed="81"/>
            <rFont val="Tahoma"/>
            <family val="2"/>
          </rPr>
          <t>Percentual estabelecido nas Normas de Segurança de Trabalho ou pelo laudo de responsável técnico devidamente habilitado</t>
        </r>
      </text>
    </comment>
    <comment ref="C95" authorId="0" shapeId="0" xr:uid="{00000000-0006-0000-0100-000016000000}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97" authorId="0" shapeId="0" xr:uid="{00000000-0006-0000-0100-000017000000}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102" authorId="0" shapeId="0" xr:uid="{00000000-0006-0000-0100-000018000000}">
      <text>
        <r>
          <rPr>
            <sz val="9"/>
            <color indexed="81"/>
            <rFont val="Tahoma"/>
            <family val="2"/>
          </rPr>
          <t>Informar o valor unitário do VT no município</t>
        </r>
      </text>
    </comment>
    <comment ref="C103" authorId="0" shapeId="0" xr:uid="{00000000-0006-0000-0100-000019000000}">
      <text>
        <r>
          <rPr>
            <sz val="9"/>
            <color indexed="81"/>
            <rFont val="Tahoma"/>
            <family val="2"/>
          </rPr>
          <t>Informar o número médio de dias trabalhados por mês</t>
        </r>
      </text>
    </comment>
    <comment ref="D104" authorId="0" shapeId="0" xr:uid="{00000000-0006-0000-0100-00001A000000}">
      <text>
        <r>
          <rPr>
            <sz val="9"/>
            <color indexed="81"/>
            <rFont val="Tahoma"/>
            <family val="2"/>
          </rPr>
          <t>Valor Unitário considerando o desconto legal de até 6% do salário</t>
        </r>
      </text>
    </comment>
    <comment ref="D105" authorId="0" shapeId="0" xr:uid="{00000000-0006-0000-0100-00001B000000}">
      <text>
        <r>
          <rPr>
            <sz val="9"/>
            <color indexed="81"/>
            <rFont val="Tahoma"/>
            <family val="2"/>
          </rPr>
          <t xml:space="preserve">Valor Unitário considerando o desconto legal de até 6% do salário
</t>
        </r>
      </text>
    </comment>
    <comment ref="D110" authorId="0" shapeId="0" xr:uid="{00000000-0006-0000-0100-00001C000000}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11" authorId="0" shapeId="0" xr:uid="{00000000-0006-0000-0100-00001D000000}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12" authorId="0" shapeId="0" xr:uid="{00000000-0006-0000-0100-00001E000000}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17" authorId="0" shapeId="0" xr:uid="{00000000-0006-0000-0100-00001F000000}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D132" authorId="0" shapeId="0" xr:uid="{00000000-0006-0000-0100-000020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33" authorId="0" shapeId="0" xr:uid="{00000000-0006-0000-0100-000021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36" authorId="0" shapeId="0" xr:uid="{00000000-0006-0000-0100-000022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37" authorId="0" shapeId="0" xr:uid="{00000000-0006-0000-0100-000023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38" authorId="0" shapeId="0" xr:uid="{00000000-0006-0000-0100-000024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39" authorId="0" shapeId="0" xr:uid="{00000000-0006-0000-0100-000025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40" authorId="0" shapeId="0" xr:uid="{00000000-0006-0000-0100-000026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41" authorId="0" shapeId="0" xr:uid="{00000000-0006-0000-0100-000027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42" authorId="0" shapeId="0" xr:uid="{00000000-0006-0000-0100-000028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43" authorId="0" shapeId="0" xr:uid="{00000000-0006-0000-0100-000029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44" authorId="0" shapeId="0" xr:uid="{00000000-0006-0000-0100-00002A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55" authorId="0" shapeId="0" xr:uid="{00000000-0006-0000-0100-00002B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66" authorId="0" shapeId="0" xr:uid="{00000000-0006-0000-0100-00002C000000}">
      <text>
        <r>
          <rPr>
            <sz val="9"/>
            <color indexed="81"/>
            <rFont val="Tahoma"/>
            <family val="2"/>
          </rPr>
          <t>Informar o preço unitário do chassis do caminhão de coleta</t>
        </r>
      </text>
    </comment>
    <comment ref="C167" authorId="0" shapeId="0" xr:uid="{00000000-0006-0000-0100-00002D000000}">
      <text>
        <r>
          <rPr>
            <sz val="9"/>
            <color indexed="81"/>
            <rFont val="Tahoma"/>
            <family val="2"/>
          </rPr>
          <t>Informar a vida útil estimada para o caminhão, em anos</t>
        </r>
      </text>
    </comment>
    <comment ref="C168" authorId="0" shapeId="0" xr:uid="{00000000-0006-0000-0100-00002E000000}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veículo proposto.</t>
        </r>
      </text>
    </comment>
    <comment ref="C169" authorId="0" shapeId="0" xr:uid="{00000000-0006-0000-0100-00002F000000}">
      <text>
        <r>
          <rPr>
            <b/>
            <sz val="9"/>
            <color indexed="81"/>
            <rFont val="Tahoma"/>
            <family val="2"/>
          </rPr>
          <t xml:space="preserve">Informar o valor da depreciação do caminhão,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1" authorId="0" shapeId="0" xr:uid="{00000000-0006-0000-0100-000030000000}">
      <text>
        <r>
          <rPr>
            <sz val="9"/>
            <color indexed="81"/>
            <rFont val="Tahoma"/>
            <family val="2"/>
          </rPr>
          <t xml:space="preserve">Informar o preço unitário do equipamento compactador
</t>
        </r>
      </text>
    </comment>
    <comment ref="C172" authorId="0" shapeId="0" xr:uid="{00000000-0006-0000-0100-000031000000}">
      <text>
        <r>
          <rPr>
            <sz val="9"/>
            <color indexed="81"/>
            <rFont val="Tahoma"/>
            <family val="2"/>
          </rPr>
          <t>Informar a vida útil estimada para o compactador, em anos</t>
        </r>
      </text>
    </comment>
    <comment ref="C173" authorId="0" shapeId="0" xr:uid="{00000000-0006-0000-0100-000032000000}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compactador proposto.</t>
        </r>
      </text>
    </comment>
    <comment ref="C174" authorId="0" shapeId="0" xr:uid="{00000000-0006-0000-0100-000033000000}">
      <text>
        <r>
          <rPr>
            <b/>
            <sz val="9"/>
            <color indexed="81"/>
            <rFont val="Tahoma"/>
            <family val="2"/>
          </rPr>
          <t xml:space="preserve">Informar o valor da depreciação do compactador,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78" authorId="0" shapeId="0" xr:uid="{00000000-0006-0000-0100-000034000000}">
      <text>
        <r>
          <rPr>
            <sz val="9"/>
            <color indexed="81"/>
            <rFont val="Tahoma"/>
            <family val="2"/>
          </rPr>
          <t>Informar a quantidade de caminhões compactadores do respectivo modelo</t>
        </r>
      </text>
    </comment>
    <comment ref="C184" authorId="0" shapeId="0" xr:uid="{00000000-0006-0000-0100-000035000000}">
      <text>
        <r>
          <rPr>
            <b/>
            <sz val="9"/>
            <color indexed="81"/>
            <rFont val="Tahoma"/>
            <family val="2"/>
          </rPr>
          <t>Informar a taxa de juros anual para remuneração do capital. Recomenda-se o uso da Taxa SELIC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0" authorId="0" shapeId="0" xr:uid="{00000000-0006-0000-0100-000036000000}">
      <text>
        <r>
          <rPr>
            <sz val="9"/>
            <color indexed="81"/>
            <rFont val="Tahoma"/>
            <family val="2"/>
          </rPr>
          <t xml:space="preserve">Informar o valor do seguro obrigatório e licenciamento anual de um caminhão
</t>
        </r>
      </text>
    </comment>
    <comment ref="D201" authorId="0" shapeId="0" xr:uid="{00000000-0006-0000-0100-000037000000}">
      <text>
        <r>
          <rPr>
            <sz val="9"/>
            <color indexed="81"/>
            <rFont val="Tahoma"/>
            <family val="2"/>
          </rPr>
          <t xml:space="preserve">Informar o valor do seguro contra terceiros de um caminhão, se houver previsão no Projeto Básico
</t>
        </r>
      </text>
    </comment>
    <comment ref="B206" authorId="0" shapeId="0" xr:uid="{00000000-0006-0000-0100-000038000000}">
      <text>
        <r>
          <rPr>
            <sz val="9"/>
            <color indexed="81"/>
            <rFont val="Tahoma"/>
            <family val="2"/>
          </rPr>
          <t xml:space="preserve">Informar a quilometragem mensal percorrida, de acordo com o projeto básico
</t>
        </r>
      </text>
    </comment>
    <comment ref="C208" authorId="0" shapeId="0" xr:uid="{00000000-0006-0000-0100-000039000000}">
      <text>
        <r>
          <rPr>
            <sz val="9"/>
            <color indexed="81"/>
            <rFont val="Tahoma"/>
            <family val="2"/>
          </rPr>
          <t>Informar o consumo estimado do veículo em km/l</t>
        </r>
      </text>
    </comment>
    <comment ref="D208" authorId="0" shapeId="0" xr:uid="{00000000-0006-0000-0100-00003A000000}">
      <text>
        <r>
          <rPr>
            <sz val="9"/>
            <color indexed="81"/>
            <rFont val="Tahoma"/>
            <family val="2"/>
          </rPr>
          <t xml:space="preserve">Informar o preço unitário do combustivel
</t>
        </r>
      </text>
    </comment>
    <comment ref="C210" authorId="0" shapeId="0" xr:uid="{00000000-0006-0000-0100-00003B000000}">
      <text>
        <r>
          <rPr>
            <sz val="9"/>
            <color indexed="81"/>
            <rFont val="Tahoma"/>
            <family val="2"/>
          </rPr>
          <t>Informar o consumo de óleo do motor a cada 1000km</t>
        </r>
      </text>
    </comment>
    <comment ref="D210" authorId="0" shapeId="0" xr:uid="{00000000-0006-0000-0100-00003C000000}">
      <text>
        <r>
          <rPr>
            <sz val="9"/>
            <color indexed="81"/>
            <rFont val="Tahoma"/>
            <family val="2"/>
          </rPr>
          <t xml:space="preserve">Informar o preço unitário do litro do óleo do motor
</t>
        </r>
      </text>
    </comment>
    <comment ref="C212" authorId="0" shapeId="0" xr:uid="{00000000-0006-0000-0100-00003D000000}">
      <text>
        <r>
          <rPr>
            <sz val="9"/>
            <color indexed="81"/>
            <rFont val="Tahoma"/>
            <family val="2"/>
          </rPr>
          <t>Informar o consumo de óleo da transmissão a cada 1000km</t>
        </r>
      </text>
    </comment>
    <comment ref="D212" authorId="0" shapeId="0" xr:uid="{00000000-0006-0000-0100-00003E000000}">
      <text>
        <r>
          <rPr>
            <sz val="9"/>
            <color indexed="81"/>
            <rFont val="Tahoma"/>
            <family val="2"/>
          </rPr>
          <t xml:space="preserve">Informar o preço unitário do litro do óleo da transmissão
</t>
        </r>
      </text>
    </comment>
    <comment ref="C214" authorId="0" shapeId="0" xr:uid="{00000000-0006-0000-0100-00003F000000}">
      <text>
        <r>
          <rPr>
            <sz val="9"/>
            <color indexed="81"/>
            <rFont val="Tahoma"/>
            <family val="2"/>
          </rPr>
          <t>Informar o consumo de óleo hidráulico a cada 1000km</t>
        </r>
      </text>
    </comment>
    <comment ref="D214" authorId="0" shapeId="0" xr:uid="{00000000-0006-0000-0100-000040000000}">
      <text>
        <r>
          <rPr>
            <sz val="9"/>
            <color indexed="81"/>
            <rFont val="Tahoma"/>
            <family val="2"/>
          </rPr>
          <t xml:space="preserve">Informar o preço unitário do litro do óleo hidráulico
</t>
        </r>
      </text>
    </comment>
    <comment ref="C216" authorId="0" shapeId="0" xr:uid="{00000000-0006-0000-0100-000041000000}">
      <text>
        <r>
          <rPr>
            <sz val="9"/>
            <color indexed="81"/>
            <rFont val="Tahoma"/>
            <family val="2"/>
          </rPr>
          <t>Informar o consumo de óleo hidráulico a cada 1000km</t>
        </r>
      </text>
    </comment>
    <comment ref="D216" authorId="0" shapeId="0" xr:uid="{00000000-0006-0000-0100-000042000000}">
      <text>
        <r>
          <rPr>
            <sz val="9"/>
            <color indexed="81"/>
            <rFont val="Tahoma"/>
            <family val="2"/>
          </rPr>
          <t xml:space="preserve">Informar o preço unitário do litro do óleo hidráulico
</t>
        </r>
      </text>
    </comment>
    <comment ref="C218" authorId="0" shapeId="0" xr:uid="{00000000-0006-0000-0100-000043000000}">
      <text>
        <r>
          <rPr>
            <sz val="9"/>
            <color indexed="81"/>
            <rFont val="Tahoma"/>
            <family val="2"/>
          </rPr>
          <t>Informar o consumo de graxa a cada 1000km</t>
        </r>
      </text>
    </comment>
    <comment ref="D218" authorId="0" shapeId="0" xr:uid="{00000000-0006-0000-0100-000044000000}">
      <text>
        <r>
          <rPr>
            <sz val="9"/>
            <color indexed="81"/>
            <rFont val="Tahoma"/>
            <family val="2"/>
          </rPr>
          <t xml:space="preserve">Informar o preço unitário do litro da graxa
</t>
        </r>
      </text>
    </comment>
    <comment ref="D225" authorId="0" shapeId="0" xr:uid="{00000000-0006-0000-0100-000045000000}">
      <text>
        <r>
          <rPr>
            <sz val="9"/>
            <color indexed="81"/>
            <rFont val="Tahoma"/>
            <family val="2"/>
          </rPr>
          <t xml:space="preserve">Informar o custo de manutenção em R$/km rodado
</t>
        </r>
      </text>
    </comment>
    <comment ref="C230" authorId="0" shapeId="0" xr:uid="{00000000-0006-0000-0100-000046000000}">
      <text>
        <r>
          <rPr>
            <sz val="9"/>
            <color indexed="81"/>
            <rFont val="Tahoma"/>
            <family val="2"/>
          </rPr>
          <t>Informar a quantidade de pneus novos de 1 caminhão</t>
        </r>
      </text>
    </comment>
    <comment ref="D230" authorId="0" shapeId="0" xr:uid="{00000000-0006-0000-0100-000047000000}">
      <text>
        <r>
          <rPr>
            <sz val="9"/>
            <color indexed="81"/>
            <rFont val="Tahoma"/>
            <family val="2"/>
          </rPr>
          <t xml:space="preserve">Informar o preço unitário de cada pneu
</t>
        </r>
      </text>
    </comment>
    <comment ref="C231" authorId="0" shapeId="0" xr:uid="{00000000-0006-0000-0100-000048000000}">
      <text>
        <r>
          <rPr>
            <sz val="9"/>
            <color indexed="81"/>
            <rFont val="Tahoma"/>
            <family val="2"/>
          </rPr>
          <t>Informar o número de recapagens por pneu</t>
        </r>
      </text>
    </comment>
    <comment ref="D232" authorId="0" shapeId="0" xr:uid="{00000000-0006-0000-0100-000049000000}">
      <text>
        <r>
          <rPr>
            <sz val="9"/>
            <color indexed="81"/>
            <rFont val="Tahoma"/>
            <family val="2"/>
          </rPr>
          <t xml:space="preserve">Informar o preço unitário de cada recapagem
</t>
        </r>
      </text>
    </comment>
    <comment ref="C233" authorId="0" shapeId="0" xr:uid="{00000000-0006-0000-0100-00004A000000}">
      <text>
        <r>
          <rPr>
            <sz val="9"/>
            <color indexed="81"/>
            <rFont val="Tahoma"/>
            <family val="2"/>
          </rPr>
          <t xml:space="preserve">Informar a durabilidade média dos pneus considerando as recapagens, em km
</t>
        </r>
      </text>
    </comment>
    <comment ref="C241" authorId="0" shapeId="0" xr:uid="{00000000-0006-0000-0100-00004B000000}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41" authorId="0" shapeId="0" xr:uid="{00000000-0006-0000-0100-00004C000000}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42" authorId="0" shapeId="0" xr:uid="{00000000-0006-0000-0100-00004D000000}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42" authorId="0" shapeId="0" xr:uid="{00000000-0006-0000-0100-00004E000000}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43" authorId="0" shapeId="0" xr:uid="{00000000-0006-0000-0100-00004F000000}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43" authorId="0" shapeId="0" xr:uid="{00000000-0006-0000-0100-000050000000}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44" authorId="0" shapeId="0" xr:uid="{00000000-0006-0000-0100-000051000000}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44" authorId="0" shapeId="0" xr:uid="{00000000-0006-0000-0100-000052000000}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D245" authorId="0" shapeId="0" xr:uid="{00000000-0006-0000-0100-000053000000}">
      <text>
        <r>
          <rPr>
            <sz val="9"/>
            <color indexed="81"/>
            <rFont val="Tahoma"/>
            <family val="2"/>
          </rPr>
          <t>Informar o valor total para instalação do equipamento de monitoramento da frota, se houver previsão no Projeto Básico</t>
        </r>
      </text>
    </comment>
    <comment ref="C246" authorId="0" shapeId="0" xr:uid="{00000000-0006-0000-0100-000054000000}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46" authorId="0" shapeId="0" xr:uid="{00000000-0006-0000-0100-000055000000}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A251" authorId="0" shapeId="0" xr:uid="{00000000-0006-0000-0100-000056000000}">
      <text>
        <r>
          <rPr>
            <b/>
            <sz val="9"/>
            <color indexed="81"/>
            <rFont val="Tahoma"/>
            <family val="2"/>
          </rPr>
          <t>Especificar somente quando for exigido no Projeto Básico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53" authorId="0" shapeId="0" xr:uid="{00000000-0006-0000-0100-000057000000}">
      <text>
        <r>
          <rPr>
            <sz val="9"/>
            <color indexed="81"/>
            <rFont val="Tahoma"/>
            <family val="2"/>
          </rPr>
          <t>Informar o valor total para instalação do equipamento de monitoramento da frota, se houver previsão no Projeto Básico</t>
        </r>
      </text>
    </comment>
    <comment ref="D255" authorId="0" shapeId="0" xr:uid="{00000000-0006-0000-0100-000058000000}">
      <text>
        <r>
          <rPr>
            <sz val="9"/>
            <color indexed="81"/>
            <rFont val="Tahoma"/>
            <family val="2"/>
          </rPr>
          <t>Informar o valor unitário mensal para manutenção dos equipamentos de monitoramento</t>
        </r>
      </text>
    </comment>
    <comment ref="C265" authorId="0" shapeId="0" xr:uid="{00000000-0006-0000-0100-000059000000}">
      <text>
        <r>
          <rPr>
            <sz val="9"/>
            <color indexed="81"/>
            <rFont val="Tahoma"/>
            <family val="2"/>
          </rPr>
          <t>Preencher a aba 4.BDI</t>
        </r>
      </text>
    </comment>
    <comment ref="D273" authorId="0" shapeId="0" xr:uid="{00000000-0006-0000-0100-00005A000000}">
      <text>
        <r>
          <rPr>
            <sz val="9"/>
            <color indexed="81"/>
            <rFont val="Tahoma"/>
            <family val="2"/>
          </rPr>
          <t xml:space="preserve">Informar a quantidade média coletada nos últimos 12 meses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Clauber Bridi</author>
  </authors>
  <commentList>
    <comment ref="A15" authorId="0" shapeId="0" xr:uid="{00000000-0006-0000-0200-000001000000}">
      <text>
        <r>
          <rPr>
            <sz val="9"/>
            <color indexed="81"/>
            <rFont val="Tahoma"/>
            <family val="2"/>
          </rPr>
          <t>Qualquer custo previsto no edital e não contemplado nesta planilha modelo deverá ser devidamente incluído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0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Informar o fator de utilização das equipes de coleta. 
Por exemplo:
Equipes com utilização integral = 100%
Equipes com utilização parcial = n° horas trabalhadas por semana /44 horas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6" authorId="0" shapeId="0" xr:uid="{00000000-0006-0000-0200-000003000000}">
      <text>
        <r>
          <rPr>
            <sz val="9"/>
            <color indexed="81"/>
            <rFont val="Tahoma"/>
            <family val="2"/>
          </rPr>
          <t>Informar o número de horas extras trabalhadas nos domingos e feriados em horário diurno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7" authorId="0" shapeId="0" xr:uid="{00000000-0006-0000-0200-000004000000}">
      <text>
        <r>
          <rPr>
            <sz val="9"/>
            <color indexed="81"/>
            <rFont val="Tahoma"/>
            <family val="2"/>
          </rPr>
          <t xml:space="preserve">Informar o número de horas extras trabalhadas em horário diurno de segunda a sábado 
</t>
        </r>
      </text>
    </comment>
    <comment ref="A58" authorId="0" shapeId="0" xr:uid="{00000000-0006-0000-0200-000005000000}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Considerada a média de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1" authorId="0" shapeId="0" xr:uid="{00000000-0006-0000-0200-000006000000}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63" authorId="0" shapeId="0" xr:uid="{00000000-0006-0000-0200-000007000000}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C69" authorId="0" shapeId="0" xr:uid="{00000000-0006-0000-0200-000008000000}">
      <text>
        <r>
          <rPr>
            <sz val="9"/>
            <color indexed="81"/>
            <rFont val="Tahoma"/>
            <family val="2"/>
          </rPr>
          <t>Informar o número de horas noturnas trabalhadas no intervalo das 22:00h as 5:00h</t>
        </r>
      </text>
    </comment>
    <comment ref="C71" authorId="0" shapeId="0" xr:uid="{00000000-0006-0000-0200-000009000000}">
      <text>
        <r>
          <rPr>
            <sz val="9"/>
            <color indexed="81"/>
            <rFont val="Tahoma"/>
            <family val="2"/>
          </rPr>
          <t>Informar o número de horas extras trabalhadas em horário diurno nos domingos e feriados</t>
        </r>
      </text>
    </comment>
    <comment ref="C72" authorId="0" shapeId="0" xr:uid="{00000000-0006-0000-0200-00000A000000}">
      <text>
        <r>
          <rPr>
            <sz val="9"/>
            <color indexed="81"/>
            <rFont val="Tahoma"/>
            <family val="2"/>
          </rPr>
          <t xml:space="preserve">Informar o número de horas extras trabalhadas em horário noturno (das 22:00h as 5h) nos domingos e feriados
</t>
        </r>
      </text>
    </comment>
    <comment ref="C74" authorId="0" shapeId="0" xr:uid="{00000000-0006-0000-0200-00000B000000}">
      <text>
        <r>
          <rPr>
            <sz val="9"/>
            <color indexed="81"/>
            <rFont val="Tahoma"/>
            <family val="2"/>
          </rPr>
          <t>Informar o número de horas extras trabalhadas em horário noturno de segunda à sábado</t>
        </r>
      </text>
    </comment>
    <comment ref="C75" authorId="0" shapeId="0" xr:uid="{00000000-0006-0000-0200-00000C000000}">
      <text>
        <r>
          <rPr>
            <sz val="9"/>
            <color indexed="81"/>
            <rFont val="Tahoma"/>
            <family val="2"/>
          </rPr>
          <t>Informar o número de horas extras trabalhadas em horário noturno (das 22:00h as 5h) de segunda a sábado</t>
        </r>
      </text>
    </comment>
    <comment ref="A77" authorId="0" shapeId="0" xr:uid="{00000000-0006-0000-0200-00000D000000}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Considerados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0" authorId="0" shapeId="0" xr:uid="{00000000-0006-0000-0200-00000E000000}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82" authorId="0" shapeId="0" xr:uid="{00000000-0006-0000-0200-00000F000000}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88" authorId="0" shapeId="0" xr:uid="{00000000-0006-0000-0200-000010000000}">
      <text>
        <r>
          <rPr>
            <sz val="9"/>
            <color indexed="81"/>
            <rFont val="Tahoma"/>
            <family val="2"/>
          </rPr>
          <t>Informar o valor do salário Mínimo Nacional</t>
        </r>
      </text>
    </comment>
    <comment ref="C89" authorId="0" shapeId="0" xr:uid="{00000000-0006-0000-0200-000011000000}">
      <text>
        <r>
          <rPr>
            <sz val="9"/>
            <color indexed="81"/>
            <rFont val="Tahoma"/>
            <family val="2"/>
          </rPr>
          <t>Informar o número de horas extras trabalhadas em horário diurno nos domingos e feriados</t>
        </r>
      </text>
    </comment>
    <comment ref="C90" authorId="0" shapeId="0" xr:uid="{00000000-0006-0000-0200-000012000000}">
      <text>
        <r>
          <rPr>
            <sz val="9"/>
            <color indexed="81"/>
            <rFont val="Tahoma"/>
            <family val="2"/>
          </rPr>
          <t xml:space="preserve">Informar o número de horas extras trabalhadas em horário diurno de segunda a sábado 
</t>
        </r>
      </text>
    </comment>
    <comment ref="A91" authorId="0" shapeId="0" xr:uid="{00000000-0006-0000-0200-000013000000}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Considerada a média de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2" authorId="0" shapeId="0" xr:uid="{00000000-0006-0000-0200-000014000000}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C93" authorId="0" shapeId="0" xr:uid="{00000000-0006-0000-0200-000015000000}">
      <text>
        <r>
          <rPr>
            <sz val="9"/>
            <color indexed="81"/>
            <rFont val="Tahoma"/>
            <family val="2"/>
          </rPr>
          <t>Percentual estabelecido nas Normas de Segurança de Trabalho ou pelo laudo de responsável técnico devidamente habilitado</t>
        </r>
      </text>
    </comment>
    <comment ref="C95" authorId="0" shapeId="0" xr:uid="{00000000-0006-0000-0200-000016000000}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97" authorId="0" shapeId="0" xr:uid="{00000000-0006-0000-0200-000017000000}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102" authorId="0" shapeId="0" xr:uid="{00000000-0006-0000-0200-000018000000}">
      <text>
        <r>
          <rPr>
            <sz val="9"/>
            <color indexed="81"/>
            <rFont val="Tahoma"/>
            <family val="2"/>
          </rPr>
          <t>Informar o valor unitário do VT no município</t>
        </r>
      </text>
    </comment>
    <comment ref="C103" authorId="0" shapeId="0" xr:uid="{00000000-0006-0000-0200-000019000000}">
      <text>
        <r>
          <rPr>
            <sz val="9"/>
            <color indexed="81"/>
            <rFont val="Tahoma"/>
            <family val="2"/>
          </rPr>
          <t>Informar o número médio de dias trabalhados por mês</t>
        </r>
      </text>
    </comment>
    <comment ref="D104" authorId="0" shapeId="0" xr:uid="{00000000-0006-0000-0200-00001A000000}">
      <text>
        <r>
          <rPr>
            <sz val="9"/>
            <color indexed="81"/>
            <rFont val="Tahoma"/>
            <family val="2"/>
          </rPr>
          <t>Valor Unitário considerando o desconto legal de até 6% do salário</t>
        </r>
      </text>
    </comment>
    <comment ref="D105" authorId="0" shapeId="0" xr:uid="{00000000-0006-0000-0200-00001B000000}">
      <text>
        <r>
          <rPr>
            <sz val="9"/>
            <color indexed="81"/>
            <rFont val="Tahoma"/>
            <family val="2"/>
          </rPr>
          <t xml:space="preserve">Valor Unitário considerando o desconto legal de até 6% do salário
</t>
        </r>
      </text>
    </comment>
    <comment ref="D110" authorId="0" shapeId="0" xr:uid="{00000000-0006-0000-0200-00001C000000}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11" authorId="0" shapeId="0" xr:uid="{00000000-0006-0000-0200-00001D000000}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12" authorId="0" shapeId="0" xr:uid="{00000000-0006-0000-0200-00001E000000}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17" authorId="0" shapeId="0" xr:uid="{00000000-0006-0000-0200-00001F000000}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D132" authorId="0" shapeId="0" xr:uid="{00000000-0006-0000-0200-000020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33" authorId="0" shapeId="0" xr:uid="{00000000-0006-0000-0200-000021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36" authorId="0" shapeId="0" xr:uid="{00000000-0006-0000-0200-000022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37" authorId="0" shapeId="0" xr:uid="{00000000-0006-0000-0200-000023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38" authorId="0" shapeId="0" xr:uid="{00000000-0006-0000-0200-000024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39" authorId="0" shapeId="0" xr:uid="{00000000-0006-0000-0200-000025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40" authorId="0" shapeId="0" xr:uid="{00000000-0006-0000-0200-000026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41" authorId="0" shapeId="0" xr:uid="{00000000-0006-0000-0200-000027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42" authorId="0" shapeId="0" xr:uid="{00000000-0006-0000-0200-000028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43" authorId="0" shapeId="0" xr:uid="{00000000-0006-0000-0200-000029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44" authorId="0" shapeId="0" xr:uid="{00000000-0006-0000-0200-00002A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55" authorId="0" shapeId="0" xr:uid="{00000000-0006-0000-0200-00002B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66" authorId="0" shapeId="0" xr:uid="{00000000-0006-0000-0200-00002C000000}">
      <text>
        <r>
          <rPr>
            <sz val="9"/>
            <color indexed="81"/>
            <rFont val="Tahoma"/>
            <family val="2"/>
          </rPr>
          <t>Informar o preço unitário do chassis do caminhão de coleta</t>
        </r>
      </text>
    </comment>
    <comment ref="C167" authorId="0" shapeId="0" xr:uid="{00000000-0006-0000-0200-00002D000000}">
      <text>
        <r>
          <rPr>
            <sz val="9"/>
            <color indexed="81"/>
            <rFont val="Tahoma"/>
            <family val="2"/>
          </rPr>
          <t>Informar a vida útil estimada para o caminhão, em anos</t>
        </r>
      </text>
    </comment>
    <comment ref="C168" authorId="0" shapeId="0" xr:uid="{00000000-0006-0000-0200-00002E000000}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veículo proposto.</t>
        </r>
      </text>
    </comment>
    <comment ref="C169" authorId="0" shapeId="0" xr:uid="{00000000-0006-0000-0200-00002F000000}">
      <text>
        <r>
          <rPr>
            <b/>
            <sz val="9"/>
            <color indexed="81"/>
            <rFont val="Tahoma"/>
            <family val="2"/>
          </rPr>
          <t xml:space="preserve">Informar o valor da depreciação do caminhão,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1" authorId="0" shapeId="0" xr:uid="{00000000-0006-0000-0200-000030000000}">
      <text>
        <r>
          <rPr>
            <sz val="9"/>
            <color indexed="81"/>
            <rFont val="Tahoma"/>
            <family val="2"/>
          </rPr>
          <t xml:space="preserve">Informar o preço unitário do equipamento compactador
</t>
        </r>
      </text>
    </comment>
    <comment ref="C172" authorId="0" shapeId="0" xr:uid="{00000000-0006-0000-0200-000031000000}">
      <text>
        <r>
          <rPr>
            <sz val="9"/>
            <color indexed="81"/>
            <rFont val="Tahoma"/>
            <family val="2"/>
          </rPr>
          <t>Informar a vida útil estimada para o compactador, em anos</t>
        </r>
      </text>
    </comment>
    <comment ref="C173" authorId="0" shapeId="0" xr:uid="{00000000-0006-0000-0200-000032000000}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compactador proposto.</t>
        </r>
      </text>
    </comment>
    <comment ref="C174" authorId="0" shapeId="0" xr:uid="{00000000-0006-0000-0200-000033000000}">
      <text>
        <r>
          <rPr>
            <b/>
            <sz val="9"/>
            <color indexed="81"/>
            <rFont val="Tahoma"/>
            <family val="2"/>
          </rPr>
          <t xml:space="preserve">Informar o valor da depreciação do compactador,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78" authorId="0" shapeId="0" xr:uid="{00000000-0006-0000-0200-000034000000}">
      <text>
        <r>
          <rPr>
            <sz val="9"/>
            <color indexed="81"/>
            <rFont val="Tahoma"/>
            <family val="2"/>
          </rPr>
          <t>Informar a quantidade de caminhões compactadores do respectivo modelo</t>
        </r>
      </text>
    </comment>
    <comment ref="C184" authorId="0" shapeId="0" xr:uid="{00000000-0006-0000-0200-000035000000}">
      <text>
        <r>
          <rPr>
            <b/>
            <sz val="9"/>
            <color indexed="81"/>
            <rFont val="Tahoma"/>
            <family val="2"/>
          </rPr>
          <t>Informar a taxa de juros anual para remuneração do capital. Recomenda-se o uso da Taxa SELIC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0" authorId="0" shapeId="0" xr:uid="{00000000-0006-0000-0200-000036000000}">
      <text>
        <r>
          <rPr>
            <sz val="9"/>
            <color indexed="81"/>
            <rFont val="Tahoma"/>
            <family val="2"/>
          </rPr>
          <t xml:space="preserve">Informar o valor do seguro obrigatório e licenciamento anual de um caminhão
</t>
        </r>
      </text>
    </comment>
    <comment ref="D201" authorId="0" shapeId="0" xr:uid="{00000000-0006-0000-0200-000037000000}">
      <text>
        <r>
          <rPr>
            <sz val="9"/>
            <color indexed="81"/>
            <rFont val="Tahoma"/>
            <family val="2"/>
          </rPr>
          <t xml:space="preserve">Informar o valor do seguro contra terceiros de um caminhão, se houver previsão no Projeto Básico
</t>
        </r>
      </text>
    </comment>
    <comment ref="B206" authorId="0" shapeId="0" xr:uid="{00000000-0006-0000-0200-000038000000}">
      <text>
        <r>
          <rPr>
            <sz val="9"/>
            <color indexed="81"/>
            <rFont val="Tahoma"/>
            <family val="2"/>
          </rPr>
          <t xml:space="preserve">Informar a quilometragem mensal percorrida, de acordo com o projeto básico
</t>
        </r>
      </text>
    </comment>
    <comment ref="C208" authorId="0" shapeId="0" xr:uid="{00000000-0006-0000-0200-000039000000}">
      <text>
        <r>
          <rPr>
            <sz val="9"/>
            <color indexed="81"/>
            <rFont val="Tahoma"/>
            <family val="2"/>
          </rPr>
          <t>Informar o consumo estimado do veículo em km/l</t>
        </r>
      </text>
    </comment>
    <comment ref="D208" authorId="0" shapeId="0" xr:uid="{00000000-0006-0000-0200-00003A000000}">
      <text>
        <r>
          <rPr>
            <sz val="9"/>
            <color indexed="81"/>
            <rFont val="Tahoma"/>
            <family val="2"/>
          </rPr>
          <t xml:space="preserve">Informar o preço unitário do combustivel
</t>
        </r>
      </text>
    </comment>
    <comment ref="C210" authorId="0" shapeId="0" xr:uid="{00000000-0006-0000-0200-00003B000000}">
      <text>
        <r>
          <rPr>
            <sz val="9"/>
            <color indexed="81"/>
            <rFont val="Tahoma"/>
            <family val="2"/>
          </rPr>
          <t>Informar o consumo de óleo do motor a cada 1000km</t>
        </r>
      </text>
    </comment>
    <comment ref="D210" authorId="0" shapeId="0" xr:uid="{00000000-0006-0000-0200-00003C000000}">
      <text>
        <r>
          <rPr>
            <sz val="9"/>
            <color indexed="81"/>
            <rFont val="Tahoma"/>
            <family val="2"/>
          </rPr>
          <t xml:space="preserve">Informar o preço unitário do litro do óleo do motor
</t>
        </r>
      </text>
    </comment>
    <comment ref="C212" authorId="0" shapeId="0" xr:uid="{00000000-0006-0000-0200-00003D000000}">
      <text>
        <r>
          <rPr>
            <sz val="9"/>
            <color indexed="81"/>
            <rFont val="Tahoma"/>
            <family val="2"/>
          </rPr>
          <t>Informar o consumo de óleo da transmissão a cada 1000km</t>
        </r>
      </text>
    </comment>
    <comment ref="D212" authorId="0" shapeId="0" xr:uid="{00000000-0006-0000-0200-00003E000000}">
      <text>
        <r>
          <rPr>
            <sz val="9"/>
            <color indexed="81"/>
            <rFont val="Tahoma"/>
            <family val="2"/>
          </rPr>
          <t xml:space="preserve">Informar o preço unitário do litro do óleo da transmissão
</t>
        </r>
      </text>
    </comment>
    <comment ref="C214" authorId="0" shapeId="0" xr:uid="{00000000-0006-0000-0200-00003F000000}">
      <text>
        <r>
          <rPr>
            <sz val="9"/>
            <color indexed="81"/>
            <rFont val="Tahoma"/>
            <family val="2"/>
          </rPr>
          <t>Informar o consumo de óleo hidráulico a cada 1000km</t>
        </r>
      </text>
    </comment>
    <comment ref="D214" authorId="0" shapeId="0" xr:uid="{00000000-0006-0000-0200-000040000000}">
      <text>
        <r>
          <rPr>
            <sz val="9"/>
            <color indexed="81"/>
            <rFont val="Tahoma"/>
            <family val="2"/>
          </rPr>
          <t xml:space="preserve">Informar o preço unitário do litro do óleo hidráulico
</t>
        </r>
      </text>
    </comment>
    <comment ref="C216" authorId="0" shapeId="0" xr:uid="{00000000-0006-0000-0200-000041000000}">
      <text>
        <r>
          <rPr>
            <sz val="9"/>
            <color indexed="81"/>
            <rFont val="Tahoma"/>
            <family val="2"/>
          </rPr>
          <t>Informar o consumo de óleo hidráulico a cada 1000km</t>
        </r>
      </text>
    </comment>
    <comment ref="D216" authorId="0" shapeId="0" xr:uid="{00000000-0006-0000-0200-000042000000}">
      <text>
        <r>
          <rPr>
            <sz val="9"/>
            <color indexed="81"/>
            <rFont val="Tahoma"/>
            <family val="2"/>
          </rPr>
          <t xml:space="preserve">Informar o preço unitário do litro do óleo hidráulico
</t>
        </r>
      </text>
    </comment>
    <comment ref="C218" authorId="0" shapeId="0" xr:uid="{00000000-0006-0000-0200-000043000000}">
      <text>
        <r>
          <rPr>
            <sz val="9"/>
            <color indexed="81"/>
            <rFont val="Tahoma"/>
            <family val="2"/>
          </rPr>
          <t>Informar o consumo de graxa a cada 1000km</t>
        </r>
      </text>
    </comment>
    <comment ref="D218" authorId="0" shapeId="0" xr:uid="{00000000-0006-0000-0200-000044000000}">
      <text>
        <r>
          <rPr>
            <sz val="9"/>
            <color indexed="81"/>
            <rFont val="Tahoma"/>
            <family val="2"/>
          </rPr>
          <t xml:space="preserve">Informar o preço unitário do litro da graxa
</t>
        </r>
      </text>
    </comment>
    <comment ref="D225" authorId="0" shapeId="0" xr:uid="{00000000-0006-0000-0200-000045000000}">
      <text>
        <r>
          <rPr>
            <sz val="9"/>
            <color indexed="81"/>
            <rFont val="Tahoma"/>
            <family val="2"/>
          </rPr>
          <t xml:space="preserve">Informar o custo de manutenção em R$/km rodado
</t>
        </r>
      </text>
    </comment>
    <comment ref="C230" authorId="0" shapeId="0" xr:uid="{00000000-0006-0000-0200-000046000000}">
      <text>
        <r>
          <rPr>
            <sz val="9"/>
            <color indexed="81"/>
            <rFont val="Tahoma"/>
            <family val="2"/>
          </rPr>
          <t>Informar a quantidade de pneus novos de 1 caminhão</t>
        </r>
      </text>
    </comment>
    <comment ref="D230" authorId="0" shapeId="0" xr:uid="{00000000-0006-0000-0200-000047000000}">
      <text>
        <r>
          <rPr>
            <sz val="9"/>
            <color indexed="81"/>
            <rFont val="Tahoma"/>
            <family val="2"/>
          </rPr>
          <t xml:space="preserve">Informar o preço unitário de cada pneu
</t>
        </r>
      </text>
    </comment>
    <comment ref="C231" authorId="0" shapeId="0" xr:uid="{00000000-0006-0000-0200-000048000000}">
      <text>
        <r>
          <rPr>
            <sz val="9"/>
            <color indexed="81"/>
            <rFont val="Tahoma"/>
            <family val="2"/>
          </rPr>
          <t>Informar o número de recapagens por pneu</t>
        </r>
      </text>
    </comment>
    <comment ref="D232" authorId="0" shapeId="0" xr:uid="{00000000-0006-0000-0200-000049000000}">
      <text>
        <r>
          <rPr>
            <sz val="9"/>
            <color indexed="81"/>
            <rFont val="Tahoma"/>
            <family val="2"/>
          </rPr>
          <t xml:space="preserve">Informar o preço unitário de cada recapagem
</t>
        </r>
      </text>
    </comment>
    <comment ref="C233" authorId="0" shapeId="0" xr:uid="{00000000-0006-0000-0200-00004A000000}">
      <text>
        <r>
          <rPr>
            <sz val="9"/>
            <color indexed="81"/>
            <rFont val="Tahoma"/>
            <family val="2"/>
          </rPr>
          <t xml:space="preserve">Informar a durabilidade média dos pneus considerando as recapagens, em km
</t>
        </r>
      </text>
    </comment>
    <comment ref="C241" authorId="0" shapeId="0" xr:uid="{00000000-0006-0000-0200-00004B000000}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41" authorId="0" shapeId="0" xr:uid="{00000000-0006-0000-0200-00004C000000}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42" authorId="0" shapeId="0" xr:uid="{00000000-0006-0000-0200-00004D000000}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42" authorId="0" shapeId="0" xr:uid="{00000000-0006-0000-0200-00004E000000}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43" authorId="0" shapeId="0" xr:uid="{00000000-0006-0000-0200-00004F000000}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43" authorId="0" shapeId="0" xr:uid="{00000000-0006-0000-0200-000050000000}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44" authorId="0" shapeId="0" xr:uid="{00000000-0006-0000-0200-000051000000}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44" authorId="0" shapeId="0" xr:uid="{00000000-0006-0000-0200-000052000000}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D245" authorId="0" shapeId="0" xr:uid="{00000000-0006-0000-0200-000053000000}">
      <text>
        <r>
          <rPr>
            <sz val="9"/>
            <color indexed="81"/>
            <rFont val="Tahoma"/>
            <family val="2"/>
          </rPr>
          <t>Informar o valor total para instalação do equipamento de monitoramento da frota, se houver previsão no Projeto Básico</t>
        </r>
      </text>
    </comment>
    <comment ref="C246" authorId="0" shapeId="0" xr:uid="{00000000-0006-0000-0200-000054000000}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46" authorId="0" shapeId="0" xr:uid="{00000000-0006-0000-0200-000055000000}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A251" authorId="0" shapeId="0" xr:uid="{00000000-0006-0000-0200-000056000000}">
      <text>
        <r>
          <rPr>
            <b/>
            <sz val="9"/>
            <color indexed="81"/>
            <rFont val="Tahoma"/>
            <family val="2"/>
          </rPr>
          <t>Especificar somente quando for exigido no Projeto Básico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53" authorId="0" shapeId="0" xr:uid="{00000000-0006-0000-0200-000057000000}">
      <text>
        <r>
          <rPr>
            <sz val="9"/>
            <color indexed="81"/>
            <rFont val="Tahoma"/>
            <family val="2"/>
          </rPr>
          <t>Informar o valor total para instalação do equipamento de monitoramento da frota, se houver previsão no Projeto Básico</t>
        </r>
      </text>
    </comment>
    <comment ref="D255" authorId="0" shapeId="0" xr:uid="{00000000-0006-0000-0200-000058000000}">
      <text>
        <r>
          <rPr>
            <sz val="9"/>
            <color indexed="81"/>
            <rFont val="Tahoma"/>
            <family val="2"/>
          </rPr>
          <t>Informar o valor unitário mensal para manutenção dos equipamentos de monitoramento</t>
        </r>
      </text>
    </comment>
    <comment ref="C265" authorId="0" shapeId="0" xr:uid="{00000000-0006-0000-0200-000059000000}">
      <text>
        <r>
          <rPr>
            <sz val="9"/>
            <color indexed="81"/>
            <rFont val="Tahoma"/>
            <family val="2"/>
          </rPr>
          <t>Preencher a aba 4.BDI</t>
        </r>
      </text>
    </comment>
    <comment ref="D273" authorId="0" shapeId="0" xr:uid="{00000000-0006-0000-0200-00005A000000}">
      <text>
        <r>
          <rPr>
            <sz val="9"/>
            <color indexed="81"/>
            <rFont val="Tahoma"/>
            <family val="2"/>
          </rPr>
          <t xml:space="preserve">Informar a quantidade média coletada nos últimos 12 meses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Clauber Bridi</author>
  </authors>
  <commentList>
    <comment ref="A15" authorId="0" shapeId="0" xr:uid="{00000000-0006-0000-0300-000001000000}">
      <text>
        <r>
          <rPr>
            <sz val="9"/>
            <color indexed="81"/>
            <rFont val="Tahoma"/>
            <family val="2"/>
          </rPr>
          <t>Qualquer custo previsto no edital e não contemplado nesta planilha modelo deverá ser devidamente incluído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2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Informar o fator de utilização das equipes de coleta. 
Por exemplo:
Equipes com utilização integral = 100%
Equipes com utilização parcial = n° horas trabalhadas por semana /44 horas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8" authorId="0" shapeId="0" xr:uid="{00000000-0006-0000-0300-000003000000}">
      <text>
        <r>
          <rPr>
            <sz val="9"/>
            <color indexed="81"/>
            <rFont val="Tahoma"/>
            <family val="2"/>
          </rPr>
          <t>Informar o número de horas extras trabalhadas nos domingos e feriados em horário diurno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9" authorId="0" shapeId="0" xr:uid="{00000000-0006-0000-0300-000004000000}">
      <text>
        <r>
          <rPr>
            <sz val="9"/>
            <color indexed="81"/>
            <rFont val="Tahoma"/>
            <family val="2"/>
          </rPr>
          <t xml:space="preserve">Informar o número de horas extras trabalhadas em horário diurno de segunda a sábado 
</t>
        </r>
      </text>
    </comment>
    <comment ref="A60" authorId="0" shapeId="0" xr:uid="{00000000-0006-0000-0300-000005000000}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Considerada a média de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3" authorId="0" shapeId="0" xr:uid="{00000000-0006-0000-0300-000006000000}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65" authorId="0" shapeId="0" xr:uid="{00000000-0006-0000-0300-000007000000}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C71" authorId="0" shapeId="0" xr:uid="{00000000-0006-0000-0300-000008000000}">
      <text>
        <r>
          <rPr>
            <sz val="9"/>
            <color indexed="81"/>
            <rFont val="Tahoma"/>
            <family val="2"/>
          </rPr>
          <t>Informar o número de horas noturnas trabalhadas no intervalo das 22:00h as 5:00h</t>
        </r>
      </text>
    </comment>
    <comment ref="C73" authorId="0" shapeId="0" xr:uid="{00000000-0006-0000-0300-000009000000}">
      <text>
        <r>
          <rPr>
            <sz val="9"/>
            <color indexed="81"/>
            <rFont val="Tahoma"/>
            <family val="2"/>
          </rPr>
          <t>Informar o número de horas extras trabalhadas em horário diurno nos domingos e feriados</t>
        </r>
      </text>
    </comment>
    <comment ref="C74" authorId="0" shapeId="0" xr:uid="{00000000-0006-0000-0300-00000A000000}">
      <text>
        <r>
          <rPr>
            <sz val="9"/>
            <color indexed="81"/>
            <rFont val="Tahoma"/>
            <family val="2"/>
          </rPr>
          <t xml:space="preserve">Informar o número de horas extras trabalhadas em horário noturno (das 22:00h as 5h) nos domingos e feriados
</t>
        </r>
      </text>
    </comment>
    <comment ref="C76" authorId="0" shapeId="0" xr:uid="{00000000-0006-0000-0300-00000B000000}">
      <text>
        <r>
          <rPr>
            <sz val="9"/>
            <color indexed="81"/>
            <rFont val="Tahoma"/>
            <family val="2"/>
          </rPr>
          <t>Informar o número de horas extras trabalhadas em horário noturno de segunda à sábado</t>
        </r>
      </text>
    </comment>
    <comment ref="C77" authorId="0" shapeId="0" xr:uid="{00000000-0006-0000-0300-00000C000000}">
      <text>
        <r>
          <rPr>
            <sz val="9"/>
            <color indexed="81"/>
            <rFont val="Tahoma"/>
            <family val="2"/>
          </rPr>
          <t>Informar o número de horas extras trabalhadas em horário noturno (das 22:00h as 5h) de segunda a sábado</t>
        </r>
      </text>
    </comment>
    <comment ref="A79" authorId="0" shapeId="0" xr:uid="{00000000-0006-0000-0300-00000D000000}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Considerados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2" authorId="0" shapeId="0" xr:uid="{00000000-0006-0000-0300-00000E000000}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84" authorId="0" shapeId="0" xr:uid="{00000000-0006-0000-0300-00000F000000}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90" authorId="0" shapeId="0" xr:uid="{00000000-0006-0000-0300-000010000000}">
      <text>
        <r>
          <rPr>
            <sz val="9"/>
            <color indexed="81"/>
            <rFont val="Tahoma"/>
            <family val="2"/>
          </rPr>
          <t>Informar o valor do salário Mínimo Nacional</t>
        </r>
      </text>
    </comment>
    <comment ref="C91" authorId="0" shapeId="0" xr:uid="{00000000-0006-0000-0300-000011000000}">
      <text>
        <r>
          <rPr>
            <sz val="9"/>
            <color indexed="81"/>
            <rFont val="Tahoma"/>
            <family val="2"/>
          </rPr>
          <t>Informar o número de horas extras trabalhadas em horário diurno nos domingos e feriados</t>
        </r>
      </text>
    </comment>
    <comment ref="C92" authorId="0" shapeId="0" xr:uid="{00000000-0006-0000-0300-000012000000}">
      <text>
        <r>
          <rPr>
            <sz val="9"/>
            <color indexed="81"/>
            <rFont val="Tahoma"/>
            <family val="2"/>
          </rPr>
          <t xml:space="preserve">Informar o número de horas extras trabalhadas em horário diurno de segunda a sábado 
</t>
        </r>
      </text>
    </comment>
    <comment ref="A93" authorId="0" shapeId="0" xr:uid="{00000000-0006-0000-0300-000013000000}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Considerada a média de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4" authorId="0" shapeId="0" xr:uid="{00000000-0006-0000-0300-000014000000}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C95" authorId="0" shapeId="0" xr:uid="{00000000-0006-0000-0300-000015000000}">
      <text>
        <r>
          <rPr>
            <sz val="9"/>
            <color indexed="81"/>
            <rFont val="Tahoma"/>
            <family val="2"/>
          </rPr>
          <t>Percentual estabelecido nas Normas de Segurança de Trabalho ou pelo laudo de responsável técnico devidamente habilitado</t>
        </r>
      </text>
    </comment>
    <comment ref="C97" authorId="0" shapeId="0" xr:uid="{00000000-0006-0000-0300-000016000000}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99" authorId="0" shapeId="0" xr:uid="{00000000-0006-0000-0300-000017000000}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C106" authorId="0" shapeId="0" xr:uid="{00000000-0006-0000-0300-000018000000}">
      <text>
        <r>
          <rPr>
            <sz val="9"/>
            <color indexed="81"/>
            <rFont val="Tahoma"/>
            <family val="2"/>
          </rPr>
          <t>Informar o número de horas noturnas trabalhadas no intervalo das 22:00h as 5:00h</t>
        </r>
      </text>
    </comment>
    <comment ref="C108" authorId="0" shapeId="0" xr:uid="{00000000-0006-0000-0300-000019000000}">
      <text>
        <r>
          <rPr>
            <sz val="9"/>
            <color indexed="81"/>
            <rFont val="Tahoma"/>
            <family val="2"/>
          </rPr>
          <t>Informar o número de horas extras trabalhadas em horário noturno nos domingos e feriados</t>
        </r>
      </text>
    </comment>
    <comment ref="C109" authorId="0" shapeId="0" xr:uid="{00000000-0006-0000-0300-00001A000000}">
      <text>
        <r>
          <rPr>
            <sz val="9"/>
            <color indexed="81"/>
            <rFont val="Tahoma"/>
            <family val="2"/>
          </rPr>
          <t xml:space="preserve">Informar o número de horas extras trabalhadas em horário noturno (das 22:00h as 5h) nos domingos e feriados
</t>
        </r>
      </text>
    </comment>
    <comment ref="C111" authorId="0" shapeId="0" xr:uid="{00000000-0006-0000-0300-00001B000000}">
      <text>
        <r>
          <rPr>
            <sz val="9"/>
            <color indexed="81"/>
            <rFont val="Tahoma"/>
            <family val="2"/>
          </rPr>
          <t>Informar o número de horas extras trabalhadas em horário noturno de segunda à sábado</t>
        </r>
      </text>
    </comment>
    <comment ref="C112" authorId="0" shapeId="0" xr:uid="{00000000-0006-0000-0300-00001C000000}">
      <text>
        <r>
          <rPr>
            <sz val="9"/>
            <color indexed="81"/>
            <rFont val="Tahoma"/>
            <family val="2"/>
          </rPr>
          <t>Informar o número de horas extras trabalhadas em horário noturno (das 22:00h as 5h) de segunda a sábado</t>
        </r>
      </text>
    </comment>
    <comment ref="A114" authorId="0" shapeId="0" xr:uid="{00000000-0006-0000-0300-00001D000000}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Considerados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5" authorId="0" shapeId="0" xr:uid="{00000000-0006-0000-0300-00001E000000}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C118" authorId="0" shapeId="0" xr:uid="{00000000-0006-0000-0300-00001F000000}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120" authorId="0" shapeId="0" xr:uid="{00000000-0006-0000-0300-000020000000}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125" authorId="0" shapeId="0" xr:uid="{00000000-0006-0000-0300-000021000000}">
      <text>
        <r>
          <rPr>
            <sz val="9"/>
            <color indexed="81"/>
            <rFont val="Tahoma"/>
            <family val="2"/>
          </rPr>
          <t>Informar o valor unitário do VT no município</t>
        </r>
      </text>
    </comment>
    <comment ref="C126" authorId="0" shapeId="0" xr:uid="{00000000-0006-0000-0300-000022000000}">
      <text>
        <r>
          <rPr>
            <sz val="9"/>
            <color indexed="81"/>
            <rFont val="Tahoma"/>
            <family val="2"/>
          </rPr>
          <t>Informar o número médio de dias trabalhados por mês</t>
        </r>
      </text>
    </comment>
    <comment ref="D127" authorId="0" shapeId="0" xr:uid="{00000000-0006-0000-0300-000023000000}">
      <text>
        <r>
          <rPr>
            <sz val="9"/>
            <color indexed="81"/>
            <rFont val="Tahoma"/>
            <family val="2"/>
          </rPr>
          <t>Valor Unitário considerando o desconto legal de até 6% do salário</t>
        </r>
      </text>
    </comment>
    <comment ref="D128" authorId="0" shapeId="0" xr:uid="{00000000-0006-0000-0300-000024000000}">
      <text>
        <r>
          <rPr>
            <sz val="9"/>
            <color indexed="81"/>
            <rFont val="Tahoma"/>
            <family val="2"/>
          </rPr>
          <t>Valor Unitário considerando o desconto legal de até 6% do salário</t>
        </r>
      </text>
    </comment>
    <comment ref="D129" authorId="0" shapeId="0" xr:uid="{00000000-0006-0000-0300-000025000000}">
      <text>
        <r>
          <rPr>
            <sz val="9"/>
            <color indexed="81"/>
            <rFont val="Tahoma"/>
            <family val="2"/>
          </rPr>
          <t xml:space="preserve">Valor Unitário considerando o desconto legal de até 6% do salário
</t>
        </r>
      </text>
    </comment>
    <comment ref="D134" authorId="0" shapeId="0" xr:uid="{00000000-0006-0000-0300-000026000000}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35" authorId="0" shapeId="0" xr:uid="{00000000-0006-0000-0300-000027000000}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36" authorId="0" shapeId="0" xr:uid="{00000000-0006-0000-0300-000028000000}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41" authorId="0" shapeId="0" xr:uid="{00000000-0006-0000-0300-000029000000}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D154" authorId="0" shapeId="0" xr:uid="{00000000-0006-0000-0300-00002A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55" authorId="0" shapeId="0" xr:uid="{00000000-0006-0000-0300-00002B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58" authorId="0" shapeId="0" xr:uid="{00000000-0006-0000-0300-00002C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59" authorId="0" shapeId="0" xr:uid="{00000000-0006-0000-0300-00002D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60" authorId="0" shapeId="0" xr:uid="{00000000-0006-0000-0300-00002E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61" authorId="0" shapeId="0" xr:uid="{00000000-0006-0000-0300-00002F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62" authorId="0" shapeId="0" xr:uid="{00000000-0006-0000-0300-000030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63" authorId="0" shapeId="0" xr:uid="{00000000-0006-0000-0300-000031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64" authorId="0" shapeId="0" xr:uid="{00000000-0006-0000-0300-000032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65" authorId="0" shapeId="0" xr:uid="{00000000-0006-0000-0300-000033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66" authorId="0" shapeId="0" xr:uid="{00000000-0006-0000-0300-000034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77" authorId="0" shapeId="0" xr:uid="{00000000-0006-0000-0300-000035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90" authorId="0" shapeId="0" xr:uid="{00000000-0006-0000-0300-000036000000}">
      <text>
        <r>
          <rPr>
            <sz val="9"/>
            <color indexed="81"/>
            <rFont val="Tahoma"/>
            <family val="2"/>
          </rPr>
          <t>Informar o preço unitário do chassis do caminhão de coleta</t>
        </r>
      </text>
    </comment>
    <comment ref="C191" authorId="0" shapeId="0" xr:uid="{00000000-0006-0000-0300-000037000000}">
      <text>
        <r>
          <rPr>
            <sz val="9"/>
            <color indexed="81"/>
            <rFont val="Tahoma"/>
            <family val="2"/>
          </rPr>
          <t>Informar a vida útil estimada para o caminhão, em anos</t>
        </r>
      </text>
    </comment>
    <comment ref="C192" authorId="0" shapeId="0" xr:uid="{00000000-0006-0000-0300-000038000000}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veículo proposto.</t>
        </r>
      </text>
    </comment>
    <comment ref="C193" authorId="0" shapeId="0" xr:uid="{00000000-0006-0000-0300-000039000000}">
      <text>
        <r>
          <rPr>
            <b/>
            <sz val="9"/>
            <color indexed="81"/>
            <rFont val="Tahoma"/>
            <family val="2"/>
          </rPr>
          <t xml:space="preserve">Informar o valor da depreciação do caminhão,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5" authorId="0" shapeId="0" xr:uid="{00000000-0006-0000-0300-00003A000000}">
      <text>
        <r>
          <rPr>
            <sz val="9"/>
            <color indexed="81"/>
            <rFont val="Tahoma"/>
            <family val="2"/>
          </rPr>
          <t xml:space="preserve">Informar o preço unitário do equipamento compactador
</t>
        </r>
      </text>
    </comment>
    <comment ref="C196" authorId="0" shapeId="0" xr:uid="{00000000-0006-0000-0300-00003B000000}">
      <text>
        <r>
          <rPr>
            <sz val="9"/>
            <color indexed="81"/>
            <rFont val="Tahoma"/>
            <family val="2"/>
          </rPr>
          <t>Informar a vida útil estimada para o compactador, em anos</t>
        </r>
      </text>
    </comment>
    <comment ref="C197" authorId="0" shapeId="0" xr:uid="{00000000-0006-0000-0300-00003C000000}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compactador proposto.</t>
        </r>
      </text>
    </comment>
    <comment ref="C198" authorId="0" shapeId="0" xr:uid="{00000000-0006-0000-0300-00003D000000}">
      <text>
        <r>
          <rPr>
            <b/>
            <sz val="9"/>
            <color indexed="81"/>
            <rFont val="Tahoma"/>
            <family val="2"/>
          </rPr>
          <t xml:space="preserve">Informar o valor da depreciação do compactador,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01" authorId="0" shapeId="0" xr:uid="{00000000-0006-0000-0300-00003E000000}">
      <text>
        <r>
          <rPr>
            <sz val="9"/>
            <color indexed="81"/>
            <rFont val="Tahoma"/>
            <family val="2"/>
          </rPr>
          <t>Informar a quantidade de caminhões compactadores do respectivo modelo</t>
        </r>
      </text>
    </comment>
    <comment ref="C207" authorId="0" shapeId="0" xr:uid="{00000000-0006-0000-0300-00003F000000}">
      <text>
        <r>
          <rPr>
            <b/>
            <sz val="9"/>
            <color indexed="81"/>
            <rFont val="Tahoma"/>
            <family val="2"/>
          </rPr>
          <t>Informar a taxa de juros anual para remuneração do capital. Recomenda-se o uso da Taxa SELIC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3" authorId="0" shapeId="0" xr:uid="{00000000-0006-0000-0300-000040000000}">
      <text>
        <r>
          <rPr>
            <sz val="9"/>
            <color indexed="81"/>
            <rFont val="Tahoma"/>
            <family val="2"/>
          </rPr>
          <t xml:space="preserve">Informar o valor do seguro obrigatório e licenciamento anual de um caminhão
</t>
        </r>
      </text>
    </comment>
    <comment ref="D224" authorId="0" shapeId="0" xr:uid="{00000000-0006-0000-0300-000041000000}">
      <text>
        <r>
          <rPr>
            <sz val="9"/>
            <color indexed="81"/>
            <rFont val="Tahoma"/>
            <family val="2"/>
          </rPr>
          <t xml:space="preserve">Informar o valor do seguro contra terceiros de um caminhão, se houver previsão no Projeto Básico
</t>
        </r>
      </text>
    </comment>
    <comment ref="B230" authorId="0" shapeId="0" xr:uid="{00000000-0006-0000-0300-000042000000}">
      <text>
        <r>
          <rPr>
            <sz val="9"/>
            <color indexed="81"/>
            <rFont val="Tahoma"/>
            <family val="2"/>
          </rPr>
          <t xml:space="preserve">Informar a quilometragem mensal percorrida, de acordo com o projeto básico
</t>
        </r>
      </text>
    </comment>
    <comment ref="C233" authorId="0" shapeId="0" xr:uid="{00000000-0006-0000-0300-000043000000}">
      <text>
        <r>
          <rPr>
            <sz val="9"/>
            <color indexed="81"/>
            <rFont val="Tahoma"/>
            <family val="2"/>
          </rPr>
          <t>Informar o consumo estimado do veículo em km/l</t>
        </r>
      </text>
    </comment>
    <comment ref="D233" authorId="0" shapeId="0" xr:uid="{00000000-0006-0000-0300-000044000000}">
      <text>
        <r>
          <rPr>
            <sz val="9"/>
            <color indexed="81"/>
            <rFont val="Tahoma"/>
            <family val="2"/>
          </rPr>
          <t xml:space="preserve">Informar o preço unitário do combustivel
</t>
        </r>
      </text>
    </comment>
    <comment ref="C235" authorId="0" shapeId="0" xr:uid="{00000000-0006-0000-0300-000045000000}">
      <text>
        <r>
          <rPr>
            <sz val="9"/>
            <color indexed="81"/>
            <rFont val="Tahoma"/>
            <family val="2"/>
          </rPr>
          <t>Informar o consumo de óleo do motor a cada 1000km</t>
        </r>
      </text>
    </comment>
    <comment ref="D235" authorId="0" shapeId="0" xr:uid="{00000000-0006-0000-0300-000046000000}">
      <text>
        <r>
          <rPr>
            <sz val="9"/>
            <color indexed="81"/>
            <rFont val="Tahoma"/>
            <family val="2"/>
          </rPr>
          <t xml:space="preserve">Informar o preço unitário do litro do óleo do motor
</t>
        </r>
      </text>
    </comment>
    <comment ref="C237" authorId="0" shapeId="0" xr:uid="{00000000-0006-0000-0300-000047000000}">
      <text>
        <r>
          <rPr>
            <sz val="9"/>
            <color indexed="81"/>
            <rFont val="Tahoma"/>
            <family val="2"/>
          </rPr>
          <t>Informar o consumo de óleo da transmissão a cada 1000km</t>
        </r>
      </text>
    </comment>
    <comment ref="D237" authorId="0" shapeId="0" xr:uid="{00000000-0006-0000-0300-000048000000}">
      <text>
        <r>
          <rPr>
            <sz val="9"/>
            <color indexed="81"/>
            <rFont val="Tahoma"/>
            <family val="2"/>
          </rPr>
          <t xml:space="preserve">Informar o preço unitário do litro do óleo da transmissão
</t>
        </r>
      </text>
    </comment>
    <comment ref="C239" authorId="0" shapeId="0" xr:uid="{00000000-0006-0000-0300-000049000000}">
      <text>
        <r>
          <rPr>
            <sz val="9"/>
            <color indexed="81"/>
            <rFont val="Tahoma"/>
            <family val="2"/>
          </rPr>
          <t>Informar o consumo de óleo hidráulico a cada 1000km</t>
        </r>
      </text>
    </comment>
    <comment ref="D239" authorId="0" shapeId="0" xr:uid="{00000000-0006-0000-0300-00004A000000}">
      <text>
        <r>
          <rPr>
            <sz val="9"/>
            <color indexed="81"/>
            <rFont val="Tahoma"/>
            <family val="2"/>
          </rPr>
          <t xml:space="preserve">Informar o preço unitário do litro do óleo hidráulico
</t>
        </r>
      </text>
    </comment>
    <comment ref="C241" authorId="0" shapeId="0" xr:uid="{00000000-0006-0000-0300-00004B000000}">
      <text>
        <r>
          <rPr>
            <sz val="9"/>
            <color indexed="81"/>
            <rFont val="Tahoma"/>
            <family val="2"/>
          </rPr>
          <t>Informar o consumo de graxa a cada 1000km</t>
        </r>
      </text>
    </comment>
    <comment ref="D241" authorId="0" shapeId="0" xr:uid="{00000000-0006-0000-0300-00004C000000}">
      <text>
        <r>
          <rPr>
            <sz val="9"/>
            <color indexed="81"/>
            <rFont val="Tahoma"/>
            <family val="2"/>
          </rPr>
          <t xml:space="preserve">Informar o preço unitário do litro da graxa
</t>
        </r>
      </text>
    </comment>
    <comment ref="D248" authorId="0" shapeId="0" xr:uid="{00000000-0006-0000-0300-00004D000000}">
      <text>
        <r>
          <rPr>
            <sz val="9"/>
            <color indexed="81"/>
            <rFont val="Tahoma"/>
            <family val="2"/>
          </rPr>
          <t xml:space="preserve">Informar o custo de manutenção em R$/km rodado
</t>
        </r>
      </text>
    </comment>
    <comment ref="C253" authorId="0" shapeId="0" xr:uid="{00000000-0006-0000-0300-00004E000000}">
      <text>
        <r>
          <rPr>
            <sz val="9"/>
            <color indexed="81"/>
            <rFont val="Tahoma"/>
            <family val="2"/>
          </rPr>
          <t>Informar a quantidade de pneus novos de 1 caminhão</t>
        </r>
      </text>
    </comment>
    <comment ref="D253" authorId="0" shapeId="0" xr:uid="{00000000-0006-0000-0300-00004F000000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C254" authorId="0" shapeId="0" xr:uid="{00000000-0006-0000-0300-000050000000}">
      <text>
        <r>
          <rPr>
            <sz val="9"/>
            <color indexed="81"/>
            <rFont val="Tahoma"/>
            <family val="2"/>
          </rPr>
          <t>Informar o número de recapagens por pneu</t>
        </r>
      </text>
    </comment>
    <comment ref="D255" authorId="0" shapeId="0" xr:uid="{00000000-0006-0000-0300-000051000000}">
      <text>
        <r>
          <rPr>
            <sz val="9"/>
            <color indexed="81"/>
            <rFont val="Tahoma"/>
            <family val="2"/>
          </rPr>
          <t xml:space="preserve">Informar o preço unitário de cada recapagem
</t>
        </r>
      </text>
    </comment>
    <comment ref="C256" authorId="0" shapeId="0" xr:uid="{00000000-0006-0000-0300-000052000000}">
      <text>
        <r>
          <rPr>
            <sz val="9"/>
            <color indexed="81"/>
            <rFont val="Tahoma"/>
            <family val="2"/>
          </rPr>
          <t xml:space="preserve">Informar a durabilidade média dos pneus considerando as recapagens, em km
</t>
        </r>
      </text>
    </comment>
    <comment ref="C264" authorId="0" shapeId="0" xr:uid="{00000000-0006-0000-0300-000053000000}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64" authorId="0" shapeId="0" xr:uid="{00000000-0006-0000-0300-000054000000}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A269" authorId="0" shapeId="0" xr:uid="{00000000-0006-0000-0300-000055000000}">
      <text>
        <r>
          <rPr>
            <b/>
            <sz val="9"/>
            <color indexed="81"/>
            <rFont val="Tahoma"/>
            <family val="2"/>
          </rPr>
          <t>Especificar somente quando for exigido no Projeto Básico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71" authorId="0" shapeId="0" xr:uid="{00000000-0006-0000-0300-000056000000}">
      <text>
        <r>
          <rPr>
            <sz val="9"/>
            <color indexed="81"/>
            <rFont val="Tahoma"/>
            <family val="2"/>
          </rPr>
          <t>Informar o valor total para instalação do equipamento de monitoramento da frota, se houver previsão no Projeto Básico</t>
        </r>
      </text>
    </comment>
    <comment ref="C280" authorId="0" shapeId="0" xr:uid="{00000000-0006-0000-0300-000057000000}">
      <text>
        <r>
          <rPr>
            <sz val="9"/>
            <color indexed="81"/>
            <rFont val="Tahoma"/>
            <family val="2"/>
          </rPr>
          <t>Preencher a aba 4.BDI</t>
        </r>
      </text>
    </comment>
    <comment ref="D287" authorId="0" shapeId="0" xr:uid="{00000000-0006-0000-0300-000058000000}">
      <text>
        <r>
          <rPr>
            <sz val="9"/>
            <color indexed="81"/>
            <rFont val="Tahoma"/>
            <family val="2"/>
          </rPr>
          <t xml:space="preserve">Informar a quantidade média coletada nos últimos 12 meses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Clauber Bridi</author>
  </authors>
  <commentList>
    <comment ref="C13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Informar o % de Administração Central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4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Informar o % de Seguros, Riscos e Garantia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5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Informar o % de Lucro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6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Informar o valor anual da taxa financeira, em percentual. Admite-se utilizar a SELIC</t>
        </r>
      </text>
    </comment>
    <comment ref="C17" authorId="0" shapeId="0" xr:uid="{00000000-0006-0000-0500-000005000000}">
      <text>
        <r>
          <rPr>
            <b/>
            <sz val="9"/>
            <color indexed="81"/>
            <rFont val="Tahoma"/>
            <family val="2"/>
          </rPr>
          <t>Informar o percentual de ISS, de acordo com a legislação tributária do município onde serão prestados os serviços. De 2% até o limite de 5%.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7" authorId="0" shapeId="0" xr:uid="{00000000-0006-0000-0500-000006000000}">
      <text>
        <r>
          <rPr>
            <b/>
            <sz val="9"/>
            <color indexed="81"/>
            <rFont val="Tahoma"/>
            <family val="2"/>
          </rPr>
          <t>Informar a média de dias úteis entre data de pagamento prevista no contrato e a data final do período de adimplemento da parcela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8" authorId="0" shapeId="0" xr:uid="{00000000-0006-0000-0500-000007000000}">
      <text>
        <r>
          <rPr>
            <b/>
            <sz val="9"/>
            <color indexed="81"/>
            <rFont val="Tahoma"/>
            <family val="2"/>
          </rPr>
          <t xml:space="preserve">Informar o valor estimado de PIS/COFINS. </t>
        </r>
        <r>
          <rPr>
            <sz val="9"/>
            <color indexed="81"/>
            <rFont val="Tahoma"/>
            <family val="2"/>
          </rPr>
          <t xml:space="preserve">
1. Adotar 0,65% PIS + 3% COFINS quando o valor anual estimado do contrato for inferior ao limite para tributação pelo regime de incidência não-cumulativa (lucro presumido);
2. Adotar 1,65% PIS + 7,6% COFINS quando o valor anual estimado do contrato for superior ao limite para tributação pelo regime de incidência não-cumulativa (lucro real);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cbridi</author>
    <author>Clauber Bridi</author>
    <author>Omar</author>
  </authors>
  <commentList>
    <comment ref="C13" authorId="0" shapeId="0" xr:uid="{00000000-0006-0000-0B00-000001000000}">
      <text>
        <r>
          <rPr>
            <sz val="8"/>
            <color indexed="81"/>
            <rFont val="Tahoma"/>
            <family val="2"/>
          </rPr>
          <t>Informar a população do município a ser atendida</t>
        </r>
      </text>
    </comment>
    <comment ref="C14" authorId="1" shapeId="0" xr:uid="{00000000-0006-0000-0B00-000002000000}">
      <text>
        <r>
          <rPr>
            <b/>
            <sz val="9"/>
            <color indexed="81"/>
            <rFont val="Tahoma"/>
            <family val="2"/>
          </rPr>
          <t>Caso o município possua informações de pesagem, ajustar com o valor da geração média per capita realizada nos últimos 12 meses</t>
        </r>
      </text>
    </comment>
    <comment ref="C15" authorId="2" shapeId="0" xr:uid="{00000000-0006-0000-0B00-000003000000}">
      <text>
        <r>
          <rPr>
            <sz val="9"/>
            <color indexed="81"/>
            <rFont val="Tahoma"/>
            <family val="2"/>
          </rPr>
          <t>retorna a geração diária a ser recolhida</t>
        </r>
      </text>
    </comment>
    <comment ref="C17" authorId="0" shapeId="0" xr:uid="{00000000-0006-0000-0B00-000004000000}">
      <text>
        <r>
          <rPr>
            <b/>
            <sz val="8"/>
            <color indexed="81"/>
            <rFont val="Tahoma"/>
            <family val="2"/>
          </rPr>
          <t>Informe o número de dias de coleta por semana</t>
        </r>
      </text>
    </comment>
    <comment ref="C20" authorId="0" shapeId="0" xr:uid="{00000000-0006-0000-0B00-000005000000}">
      <text>
        <r>
          <rPr>
            <sz val="8"/>
            <color indexed="81"/>
            <rFont val="Tahoma"/>
            <family val="2"/>
          </rPr>
          <t>Informar 1 para caminhão toco; Informar 2 para caminhão truck</t>
        </r>
        <r>
          <rPr>
            <b/>
            <sz val="8"/>
            <color indexed="81"/>
            <rFont val="Tahoma"/>
            <family val="2"/>
          </rPr>
          <t xml:space="preserve"> </t>
        </r>
      </text>
    </comment>
    <comment ref="C21" authorId="0" shapeId="0" xr:uid="{00000000-0006-0000-0B00-000006000000}">
      <text>
        <r>
          <rPr>
            <sz val="8"/>
            <color indexed="81"/>
            <rFont val="Tahoma"/>
            <family val="2"/>
          </rPr>
          <t>Informar a capacidade do compactador em m³</t>
        </r>
      </text>
    </comment>
    <comment ref="C24" authorId="1" shapeId="0" xr:uid="{00000000-0006-0000-0B00-000007000000}">
      <text>
        <r>
          <rPr>
            <sz val="8"/>
            <color indexed="81"/>
            <rFont val="Tahoma"/>
            <family val="2"/>
          </rPr>
          <t xml:space="preserve">Informar o número de percursos de coleta (cargas) que cada caminhão realiza por dia, considerando todos os turnos de trabalho. </t>
        </r>
      </text>
    </comment>
  </commentList>
</comments>
</file>

<file path=xl/sharedStrings.xml><?xml version="1.0" encoding="utf-8"?>
<sst xmlns="http://schemas.openxmlformats.org/spreadsheetml/2006/main" count="2005" uniqueCount="513">
  <si>
    <t>hora</t>
  </si>
  <si>
    <t>Adicional de Insalubridade</t>
  </si>
  <si>
    <t>%</t>
  </si>
  <si>
    <t>Soma</t>
  </si>
  <si>
    <t>Encargos Sociais</t>
  </si>
  <si>
    <t>Total do Efetivo</t>
  </si>
  <si>
    <t>homem</t>
  </si>
  <si>
    <t>Adicional Noturno</t>
  </si>
  <si>
    <t>mês</t>
  </si>
  <si>
    <t>vale</t>
  </si>
  <si>
    <t>unidade</t>
  </si>
  <si>
    <t>Colete reflexivo</t>
  </si>
  <si>
    <t>IPVA</t>
  </si>
  <si>
    <t>Seguro contra terceiros</t>
  </si>
  <si>
    <t>Impostos e seguros mensais</t>
  </si>
  <si>
    <t>Custo de óleo diesel / km rodado</t>
  </si>
  <si>
    <t>km/l</t>
  </si>
  <si>
    <t>Custo mensal com óleo diesel</t>
  </si>
  <si>
    <t>km</t>
  </si>
  <si>
    <t>l/1.000 km</t>
  </si>
  <si>
    <t>Custo mensal com óleo do motor</t>
  </si>
  <si>
    <t>Custo mensal com óleo da transmissão</t>
  </si>
  <si>
    <t>Custo mensal com óleo hidráulico</t>
  </si>
  <si>
    <t>Custo de graxa /1.000 km rodados</t>
  </si>
  <si>
    <t>kg/1.000 km</t>
  </si>
  <si>
    <t>Custo mensal com graxa</t>
  </si>
  <si>
    <t>km/jogo</t>
  </si>
  <si>
    <t>toneladas</t>
  </si>
  <si>
    <t>Pá de Concha</t>
  </si>
  <si>
    <t>Vassoura</t>
  </si>
  <si>
    <t>Calça</t>
  </si>
  <si>
    <t>Camiseta</t>
  </si>
  <si>
    <t>Luva de proteção</t>
  </si>
  <si>
    <t>R$/tonelada</t>
  </si>
  <si>
    <t>R$</t>
  </si>
  <si>
    <t>Horas Extras (100%)</t>
  </si>
  <si>
    <t>Horas Extras (50%)</t>
  </si>
  <si>
    <t>Benefícios e despesas indiretas</t>
  </si>
  <si>
    <t>Custo mensal com manutenção</t>
  </si>
  <si>
    <t>Custo (R$/mês)</t>
  </si>
  <si>
    <t>Mão-de-obra</t>
  </si>
  <si>
    <t>Quantidade</t>
  </si>
  <si>
    <t>INSS</t>
  </si>
  <si>
    <t>FGTS</t>
  </si>
  <si>
    <t>Planilha de Composição de Custos</t>
  </si>
  <si>
    <t>Motorista</t>
  </si>
  <si>
    <t>2. Uniformes e Equipamentos de Proteção Individual</t>
  </si>
  <si>
    <t>3.1.1. Depreciação</t>
  </si>
  <si>
    <t>1. Mão-de-obra</t>
  </si>
  <si>
    <t>par</t>
  </si>
  <si>
    <t>frasco 120g</t>
  </si>
  <si>
    <t>Depreciação mensal veículos coletores</t>
  </si>
  <si>
    <t>3.1.3. Impostos e Seguros</t>
  </si>
  <si>
    <t>3.1.4. Consumos</t>
  </si>
  <si>
    <t>3.1.5. Manutenção</t>
  </si>
  <si>
    <t>3. Veículos e Equipamentos</t>
  </si>
  <si>
    <t>Custo mensal com pneus</t>
  </si>
  <si>
    <t>Veículos e Equipamentos</t>
  </si>
  <si>
    <t>cj</t>
  </si>
  <si>
    <t>Total de mão-de-obra (postos de trabalho)</t>
  </si>
  <si>
    <t>Custo mensal com implantação</t>
  </si>
  <si>
    <t>3.1.6. Pneus</t>
  </si>
  <si>
    <t>Protetor solar FPS 30</t>
  </si>
  <si>
    <t>Discriminação</t>
  </si>
  <si>
    <t>Unidade</t>
  </si>
  <si>
    <t>Subtotal</t>
  </si>
  <si>
    <r>
      <t xml:space="preserve">Total </t>
    </r>
    <r>
      <rPr>
        <b/>
        <u/>
        <sz val="9"/>
        <rFont val="Arial"/>
        <family val="2"/>
      </rPr>
      <t>(R$)</t>
    </r>
  </si>
  <si>
    <t>Jaqueta com reflexivo (NBR 15.292)</t>
  </si>
  <si>
    <t>Capa de chuva amarela com reflexivo</t>
  </si>
  <si>
    <t>PREÇO POR TONELADA COLETADA:  [A/B]</t>
  </si>
  <si>
    <t>Custo de recapagem</t>
  </si>
  <si>
    <t>Recipiente térmico para água (5L)</t>
  </si>
  <si>
    <t>Total por Coletor</t>
  </si>
  <si>
    <t>Coletor</t>
  </si>
  <si>
    <t>5. Monitoramento da Frota</t>
  </si>
  <si>
    <t>Administração Central</t>
  </si>
  <si>
    <t>AC</t>
  </si>
  <si>
    <t>Seguros/Riscos/Garantias</t>
  </si>
  <si>
    <t>SRG</t>
  </si>
  <si>
    <t>Lucro</t>
  </si>
  <si>
    <t>L</t>
  </si>
  <si>
    <t>Despesas Financeiras</t>
  </si>
  <si>
    <t>DF</t>
  </si>
  <si>
    <t>Tributos - ISS</t>
  </si>
  <si>
    <t>T</t>
  </si>
  <si>
    <t>Tributos - PIS/COFINS</t>
  </si>
  <si>
    <t>Fórmula para o cálculo do BDI:</t>
  </si>
  <si>
    <t>{[(1+AC+SRG) x (1+L) x (1+DF)] / (1-T)} -1</t>
  </si>
  <si>
    <t>Resultado do cálculo do BDI:</t>
  </si>
  <si>
    <t>6. Benefícios e Despesas Indiretas - BDI</t>
  </si>
  <si>
    <t>Vale Transporte</t>
  </si>
  <si>
    <t>Dias Trabalhados por mês</t>
  </si>
  <si>
    <t>dia</t>
  </si>
  <si>
    <t>Custo Mensal com Mão-de-obra (R$/mês)</t>
  </si>
  <si>
    <t>Meia de algodão com cano alto</t>
  </si>
  <si>
    <r>
      <t xml:space="preserve">Custo jg. compl. + </t>
    </r>
    <r>
      <rPr>
        <sz val="10"/>
        <color indexed="10"/>
        <rFont val="Arial"/>
        <family val="2"/>
      </rPr>
      <t>X</t>
    </r>
    <r>
      <rPr>
        <sz val="10"/>
        <rFont val="Arial"/>
        <family val="2"/>
      </rPr>
      <t xml:space="preserve"> recap./ km rodado</t>
    </r>
  </si>
  <si>
    <t>Quantitativos</t>
  </si>
  <si>
    <t>horas trabalhadas</t>
  </si>
  <si>
    <t>Horas Extras Noturnas (100%)</t>
  </si>
  <si>
    <t>1.1. Coletor Turno Dia</t>
  </si>
  <si>
    <t>1.3. Motorista Turno do Dia</t>
  </si>
  <si>
    <t>hora contabilizada</t>
  </si>
  <si>
    <t>1.5. Vale Transporte</t>
  </si>
  <si>
    <t>Vida útil do chassis</t>
  </si>
  <si>
    <t>anos</t>
  </si>
  <si>
    <t>Depreciação do chassis</t>
  </si>
  <si>
    <t>Custo de aquisição do chassis</t>
  </si>
  <si>
    <t>i = taxa de juros do mercado (sugere-se adotar a taxa SELIC)</t>
  </si>
  <si>
    <t>n = vida útil do bem em anos</t>
  </si>
  <si>
    <t>Custo do chassis</t>
  </si>
  <si>
    <t>Custo do compactador</t>
  </si>
  <si>
    <t>3.1.2. Remuneração do Capital</t>
  </si>
  <si>
    <t>Im = investimento médio</t>
  </si>
  <si>
    <t>Remuneração mensal de capital do compactador</t>
  </si>
  <si>
    <t>Investimento médio total do chassis</t>
  </si>
  <si>
    <t>Remuneração mensal de capital do chassis</t>
  </si>
  <si>
    <t>Investimento médio total do compactador</t>
  </si>
  <si>
    <t>Custo de manutenção dos caminhões</t>
  </si>
  <si>
    <t>Quilometragem mensal</t>
  </si>
  <si>
    <t>R$/km rodado</t>
  </si>
  <si>
    <t>Número de recapagens por pneu</t>
  </si>
  <si>
    <t>1.6. Vale-refeição (diário)</t>
  </si>
  <si>
    <t>Código</t>
  </si>
  <si>
    <t>Descrição</t>
  </si>
  <si>
    <t>Valor</t>
  </si>
  <si>
    <t>A1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</si>
  <si>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</si>
  <si>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</si>
  <si>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</si>
  <si>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</si>
  <si>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</si>
  <si>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</si>
  <si>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</si>
  <si>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</si>
  <si>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</si>
  <si>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</si>
  <si>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</si>
  <si>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</si>
  <si>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</si>
  <si>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A</t>
  </si>
  <si>
    <t>SOMA GRUPO A</t>
  </si>
  <si>
    <t>B1</t>
  </si>
  <si>
    <t>Férias gozadas</t>
  </si>
  <si>
    <t>B2</t>
  </si>
  <si>
    <t>13º salário</t>
  </si>
  <si>
    <t>B4</t>
  </si>
  <si>
    <t>Licença Paternidade</t>
  </si>
  <si>
    <t>B5</t>
  </si>
  <si>
    <t>Faltas justificadas</t>
  </si>
  <si>
    <t>B6</t>
  </si>
  <si>
    <t>Auxilio acidente de trabalho</t>
  </si>
  <si>
    <t>Auxilio doença</t>
  </si>
  <si>
    <t>B</t>
  </si>
  <si>
    <t>SOMA GRUPO B</t>
  </si>
  <si>
    <t>C1</t>
  </si>
  <si>
    <t>Aviso prévio indenizado</t>
  </si>
  <si>
    <t>C3</t>
  </si>
  <si>
    <t xml:space="preserve">Férias indenizadas </t>
  </si>
  <si>
    <t>C4</t>
  </si>
  <si>
    <t>Férias indenizadas s/ aviso previo inden.</t>
  </si>
  <si>
    <t>C5</t>
  </si>
  <si>
    <t>Depósito rescisão sem justa causa</t>
  </si>
  <si>
    <t>Indenização adicional</t>
  </si>
  <si>
    <t>C</t>
  </si>
  <si>
    <t>SOMA GRUPO C</t>
  </si>
  <si>
    <t>D1</t>
  </si>
  <si>
    <t>Reincidência de Grupo A sobre Grupo B</t>
  </si>
  <si>
    <t>D2</t>
  </si>
  <si>
    <t>D</t>
  </si>
  <si>
    <t>SOMA GRUPO D</t>
  </si>
  <si>
    <t>SOMA (A+B+C+D)</t>
  </si>
  <si>
    <t>1° Quartil</t>
  </si>
  <si>
    <t>Médio</t>
  </si>
  <si>
    <t>3° Quartil</t>
  </si>
  <si>
    <t>DU</t>
  </si>
  <si>
    <t>Licenciamento e Seguro obrigatório</t>
  </si>
  <si>
    <t>Fator de utilização</t>
  </si>
  <si>
    <t>Fator de utilização (FU)</t>
  </si>
  <si>
    <t>2.1. Uniformes e EPIs para Coletor</t>
  </si>
  <si>
    <t>2.2. Uniformes e EPIs para demais categorias</t>
  </si>
  <si>
    <t>Custo Mensal com Uniformes e EPIs (R$/mês)</t>
  </si>
  <si>
    <t>Descrição do Item</t>
  </si>
  <si>
    <t>Orçamento Sintético</t>
  </si>
  <si>
    <t>Orientações para preenchimento:</t>
  </si>
  <si>
    <t>2. Preencher somente células em amarelo</t>
  </si>
  <si>
    <t>Excluir esta linha caso a contratação seja por preço global mensal</t>
  </si>
  <si>
    <t>Idade do veículo (ano)</t>
  </si>
  <si>
    <t>Idade do veículo</t>
  </si>
  <si>
    <t>Valor do veículo proposto (V0)</t>
  </si>
  <si>
    <t>Valor do compactador proposto (V0)</t>
  </si>
  <si>
    <t>Taxa de juros anual nominal</t>
  </si>
  <si>
    <t>Piso da categoria</t>
  </si>
  <si>
    <t>Base de cálculo da Insalubridade</t>
  </si>
  <si>
    <t>Horas Extras Noturnas (50%)</t>
  </si>
  <si>
    <t>Excluir esta linha caso a contratação não tenha previsão de horas extras explícita no edital</t>
  </si>
  <si>
    <t>Descanso Semanal Remunerado (DSR) - hora extra</t>
  </si>
  <si>
    <t>C2</t>
  </si>
  <si>
    <t>B3</t>
  </si>
  <si>
    <t xml:space="preserve">Quantidade média de resíduos coletados por mês: </t>
  </si>
  <si>
    <t>Custo Mensal com Monitoramento da Frota (R$/mês)</t>
  </si>
  <si>
    <t>Implantação dos equipamentos de monitoramento</t>
  </si>
  <si>
    <t>Manutenção dos equipamentos de monitoramento</t>
  </si>
  <si>
    <t>Custo Mensal com Veículos e Equipamentos (R$/mês)</t>
  </si>
  <si>
    <t>Custo Mensal com Ferramentas e Materiais de Consumo (R$/mês)</t>
  </si>
  <si>
    <t>CUSTO TOTAL MENSAL COM DESPESAS OPERACIONAIS (R$/mês)</t>
  </si>
  <si>
    <t>PREÇO MENSAL TOTAL (R$/mês)</t>
  </si>
  <si>
    <t>4. Composição do BDI - Benefícios e Despesas Indiretas</t>
  </si>
  <si>
    <r>
      <t>J</t>
    </r>
    <r>
      <rPr>
        <vertAlign val="subscript"/>
        <sz val="12"/>
        <color indexed="8"/>
        <rFont val="Arial"/>
        <family val="2"/>
      </rPr>
      <t>m</t>
    </r>
    <r>
      <rPr>
        <sz val="12"/>
        <color indexed="8"/>
        <rFont val="Arial"/>
        <family val="2"/>
      </rPr>
      <t xml:space="preserve"> = remuneração de capital mensal</t>
    </r>
  </si>
  <si>
    <r>
      <t>V</t>
    </r>
    <r>
      <rPr>
        <vertAlign val="subscript"/>
        <sz val="12"/>
        <color indexed="8"/>
        <rFont val="Arial"/>
        <family val="2"/>
      </rPr>
      <t>0</t>
    </r>
    <r>
      <rPr>
        <sz val="12"/>
        <color indexed="8"/>
        <rFont val="Arial"/>
        <family val="2"/>
      </rPr>
      <t xml:space="preserve"> = valor inicial do bem</t>
    </r>
  </si>
  <si>
    <r>
      <t>V</t>
    </r>
    <r>
      <rPr>
        <vertAlign val="subscript"/>
        <sz val="12"/>
        <color indexed="8"/>
        <rFont val="Arial"/>
        <family val="2"/>
      </rPr>
      <t>r</t>
    </r>
    <r>
      <rPr>
        <sz val="12"/>
        <color indexed="8"/>
        <rFont val="Arial"/>
        <family val="2"/>
      </rPr>
      <t xml:space="preserve"> = valor residual do bem</t>
    </r>
  </si>
  <si>
    <t>Custo unitário</t>
  </si>
  <si>
    <t>Custo de óleo do motor /1.000 km rodados</t>
  </si>
  <si>
    <t>Custo de óleo da transmissão /1.000 km</t>
  </si>
  <si>
    <t>Custo de óleo hidráulico / 1.000 km</t>
  </si>
  <si>
    <t>PREÇO TOTAL MENSAL COM A COLETA</t>
  </si>
  <si>
    <t>CUSTO MENSAL COM BDI (R$/mês)</t>
  </si>
  <si>
    <t>Referência estudo TCE</t>
  </si>
  <si>
    <t>1. Preencha previamente os dados de entrada na planilha 3.CAGED</t>
  </si>
  <si>
    <t>1. Esta planilha é somente um modelo-base e deve ser ajustada conforme cada caso concreto.</t>
  </si>
  <si>
    <t>Fórmula de cálculo da remuneração de capital:</t>
  </si>
  <si>
    <t>Excluir esta linha caso a contratação não tenha previsão de horas extras 100% explícita no edital</t>
  </si>
  <si>
    <t>Excluir esta linha caso a contratação não tenha previsão de horas extras noturnas 100% explícita no edital</t>
  </si>
  <si>
    <t>Excluir esta linha caso a contratação não tenha previsão de horas extras 50% explícita no edital</t>
  </si>
  <si>
    <t>Excluir esta linha caso a contratação não tenha previsão de horas extras noturnas 50% explícita no edital</t>
  </si>
  <si>
    <t>Total por Motorista</t>
  </si>
  <si>
    <t>Durabilidade (meses)</t>
  </si>
  <si>
    <t>Custo com consumos/km rodado</t>
  </si>
  <si>
    <t>Consumo</t>
  </si>
  <si>
    <t>Total por veículo</t>
  </si>
  <si>
    <t>Total da frota</t>
  </si>
  <si>
    <t>1. Esta planilha é somente um modelo de cálculo expedito e deve ser ajustada conforme cada caso concreto.</t>
  </si>
  <si>
    <t>Unid</t>
  </si>
  <si>
    <t>hab</t>
  </si>
  <si>
    <t>ton</t>
  </si>
  <si>
    <t>Densidade RSU compactado</t>
  </si>
  <si>
    <t>Kg/m³</t>
  </si>
  <si>
    <t>m³</t>
  </si>
  <si>
    <t>Kg/hab.dia</t>
  </si>
  <si>
    <t>ton/dia</t>
  </si>
  <si>
    <t>População (H)</t>
  </si>
  <si>
    <t>Geração per capita (G)</t>
  </si>
  <si>
    <t>Geração total diária (Qd)</t>
  </si>
  <si>
    <t>Quantitativo diário de coleta (Qc)</t>
  </si>
  <si>
    <t>Número de dias de coleta por semana (Dc)</t>
  </si>
  <si>
    <t>Capacidade nominal de carga (Cc)</t>
  </si>
  <si>
    <t>Número de Cargas por dia (Nc)</t>
  </si>
  <si>
    <t>Número de veículos da Frota (F)</t>
  </si>
  <si>
    <t>Geração Mensal</t>
  </si>
  <si>
    <t>Tipo de Veículo (1 = toco, 2 = truck)</t>
  </si>
  <si>
    <t>Capacidade do Compactador</t>
  </si>
  <si>
    <t>Indicador</t>
  </si>
  <si>
    <t>Número total de percursos de coleta por veículo, por dia (Np)</t>
  </si>
  <si>
    <t>i</t>
  </si>
  <si>
    <t>3. Preencher somente células em amarelo</t>
  </si>
  <si>
    <t>Depreciação Média</t>
  </si>
  <si>
    <t>2. Dimensionar separadamente setores atendidos por veículos de capacidade de carga diferentes.</t>
  </si>
  <si>
    <t xml:space="preserve">1. Esta planilha é somente um modelo-base, devendo ser adaptada para cada caso concreto. </t>
  </si>
  <si>
    <t>Qualquer custo previsto no edital e não contemplado nesta planilha deverá ser devidamente incluído.</t>
  </si>
  <si>
    <t>4. As células azuis deverão ter seus valores preenchidos em outra planilha do arquivo.</t>
  </si>
  <si>
    <t>2. Antes de preenchê-la, leia a Orientação Técnica - Serviço de coleta de resíduos sólidos domiciliares</t>
  </si>
  <si>
    <t>Reincidência de FGTS sobre aviso prévio indenizado</t>
  </si>
  <si>
    <t>O orçamento deve ser realizado por responsável técnico habilitado e é de responsabilidade do seu autor.</t>
  </si>
  <si>
    <t>Piso da categoria (2)</t>
  </si>
  <si>
    <t>Salário mínimo nacional (1)</t>
  </si>
  <si>
    <t>O TCE/RS não se responsabiliza pelo uso incorreto desta planilha.</t>
  </si>
  <si>
    <t xml:space="preserve">O orçamento deve ser realizado por responsável técnico habilitado e é de </t>
  </si>
  <si>
    <t>responsabilidade do seu autor.</t>
  </si>
  <si>
    <t>realizada nos últimos 12 meses</t>
  </si>
  <si>
    <t xml:space="preserve"> todos os turnos de trabalho.</t>
  </si>
  <si>
    <t>Obs:</t>
  </si>
  <si>
    <t>&gt; Informar a população do município a ser atendida</t>
  </si>
  <si>
    <t xml:space="preserve">&gt; Caso o município possua informações de pesagem, ajustar com o valor da geração média per capita </t>
  </si>
  <si>
    <t>&gt; Informe o número de dias de coleta por semana</t>
  </si>
  <si>
    <t xml:space="preserve">&gt; Informar 1 para caminhão toco; Informar 2 para caminhão truck </t>
  </si>
  <si>
    <t>&gt; Informar a capacidade do compactador em m³</t>
  </si>
  <si>
    <t>&gt; Informar o número de percursos de coleta (cargas) que cada caminhão realiza por dia, considerando</t>
  </si>
  <si>
    <t xml:space="preserve">O orçamento deve ser realizado por responsável técnico habilitado e é </t>
  </si>
  <si>
    <t>de responsabilidade do seu autor.</t>
  </si>
  <si>
    <t xml:space="preserve">O orçamento deve ser realizado por responsável técnico habilitado e </t>
  </si>
  <si>
    <t>é de responsabilidade do seu autor.</t>
  </si>
  <si>
    <t xml:space="preserve">Ordem </t>
  </si>
  <si>
    <t xml:space="preserve">Prefeitura Municipal de Nova Hartz </t>
  </si>
  <si>
    <t xml:space="preserve">Tolenadas de lixo coletados em Nova Hartz </t>
  </si>
  <si>
    <t xml:space="preserve">Periodicidade: Segunda a sábado </t>
  </si>
  <si>
    <t xml:space="preserve">Nr. Func. </t>
  </si>
  <si>
    <t xml:space="preserve">Cargo </t>
  </si>
  <si>
    <t xml:space="preserve">Dias </t>
  </si>
  <si>
    <t xml:space="preserve">Entrada </t>
  </si>
  <si>
    <t>Saída</t>
  </si>
  <si>
    <t>Total Horas</t>
  </si>
  <si>
    <t xml:space="preserve">Total de horas por coletor </t>
  </si>
  <si>
    <t xml:space="preserve">Total de dias por semana </t>
  </si>
  <si>
    <t xml:space="preserve">Total de horas por semana </t>
  </si>
  <si>
    <t xml:space="preserve">Dias úteis semana </t>
  </si>
  <si>
    <t>Total de dias com (DSR) Descanso Semanal Remunerado</t>
  </si>
  <si>
    <t>Total de horas/dia com (DSR)</t>
  </si>
  <si>
    <t xml:space="preserve">Total de dias no mês (30 dias) </t>
  </si>
  <si>
    <t>Total geral de horas mês com (DSR)</t>
  </si>
  <si>
    <t>Cargo: Motorista</t>
  </si>
  <si>
    <t xml:space="preserve">Total de horas por motorista </t>
  </si>
  <si>
    <t>Total geral de horas base mês com (DSR)</t>
  </si>
  <si>
    <t xml:space="preserve">Fator de utilização </t>
  </si>
  <si>
    <t>Planilha com os horários dos funcionários coleta de lixo orgânica e seletiva</t>
  </si>
  <si>
    <t xml:space="preserve">Cargo: Coletor de lixo orgânico e seletivo </t>
  </si>
  <si>
    <t>3.1. Veículo Coletor Tipo Baú</t>
  </si>
  <si>
    <t xml:space="preserve">Custo de aquisição da caçamba </t>
  </si>
  <si>
    <t>Vida útil da caçamba</t>
  </si>
  <si>
    <t>Idade da caçamba</t>
  </si>
  <si>
    <t>Depreciação da caçamba</t>
  </si>
  <si>
    <t>Depreciação mensal da caçamba</t>
  </si>
  <si>
    <t>1.1. Reciclador de lixo urbano</t>
  </si>
  <si>
    <t xml:space="preserve">Planilha com os horários dos funcionários do Centro de Triagem </t>
  </si>
  <si>
    <t xml:space="preserve">Total por Reciclador </t>
  </si>
  <si>
    <t xml:space="preserve">1.3. Operador de máquinas </t>
  </si>
  <si>
    <t xml:space="preserve">Total por operador </t>
  </si>
  <si>
    <t>2.1. Uniformes e EPIs para Reciclador</t>
  </si>
  <si>
    <t xml:space="preserve">Hs/mês </t>
  </si>
  <si>
    <t xml:space="preserve">5. Venda do Material Reciclado </t>
  </si>
  <si>
    <t>Ton</t>
  </si>
  <si>
    <t>3. Máquinas e Equipamentos</t>
  </si>
  <si>
    <t xml:space="preserve">3.1. Máquinas e Equipamentos </t>
  </si>
  <si>
    <t>Materiais reciclados (previsão de receita)</t>
  </si>
  <si>
    <t>Dias</t>
  </si>
  <si>
    <t>Equipes</t>
  </si>
  <si>
    <t xml:space="preserve">Rotas </t>
  </si>
  <si>
    <t>Distância</t>
  </si>
  <si>
    <t>Und.</t>
  </si>
  <si>
    <t>Locais de coleta:  Bairros e parte do Centro</t>
  </si>
  <si>
    <t>Segunda e Quinta</t>
  </si>
  <si>
    <t>Equipe 1</t>
  </si>
  <si>
    <t>Rota 1</t>
  </si>
  <si>
    <t>Trechos</t>
  </si>
  <si>
    <t>Cor Linha</t>
  </si>
  <si>
    <t>Ponto a Ponto</t>
  </si>
  <si>
    <t>Equipe 2</t>
  </si>
  <si>
    <t>Triagem</t>
  </si>
  <si>
    <t>Sem Coleta</t>
  </si>
  <si>
    <t>Triagem-1</t>
  </si>
  <si>
    <t>m</t>
  </si>
  <si>
    <t>Terça e Sexta</t>
  </si>
  <si>
    <t>Rota 2</t>
  </si>
  <si>
    <t>Trecho 01</t>
  </si>
  <si>
    <t>1 - 2</t>
  </si>
  <si>
    <t>Trecho 02</t>
  </si>
  <si>
    <t>2 - 3</t>
  </si>
  <si>
    <t>Quarta e Sábado</t>
  </si>
  <si>
    <t>Rota 3*</t>
  </si>
  <si>
    <t>Trecho 03</t>
  </si>
  <si>
    <t>3 - 4</t>
  </si>
  <si>
    <t>Rota 3</t>
  </si>
  <si>
    <t>Trecho 04</t>
  </si>
  <si>
    <t>4 - 5</t>
  </si>
  <si>
    <t>Trecho 05</t>
  </si>
  <si>
    <t>5 - 6</t>
  </si>
  <si>
    <t xml:space="preserve">  2 x </t>
  </si>
  <si>
    <t>Trecho 06</t>
  </si>
  <si>
    <t>6 - 7</t>
  </si>
  <si>
    <t>Total da distância Semanal:</t>
  </si>
  <si>
    <t>Trecho 07</t>
  </si>
  <si>
    <t>7 - 8</t>
  </si>
  <si>
    <t>Total da distância mensal:</t>
  </si>
  <si>
    <t>Trecho 08</t>
  </si>
  <si>
    <t>8-Triagem</t>
  </si>
  <si>
    <t>Trecho 09</t>
  </si>
  <si>
    <t>9-10</t>
  </si>
  <si>
    <t>Trecho 10</t>
  </si>
  <si>
    <t>10-11</t>
  </si>
  <si>
    <t>Trecho 11</t>
  </si>
  <si>
    <t>11-12</t>
  </si>
  <si>
    <t>Trecho 12</t>
  </si>
  <si>
    <t>12-13</t>
  </si>
  <si>
    <t>Trecho 13</t>
  </si>
  <si>
    <t>13-14</t>
  </si>
  <si>
    <t>Trecho 14</t>
  </si>
  <si>
    <t>14-15</t>
  </si>
  <si>
    <t>Trecho 15</t>
  </si>
  <si>
    <t>15-16</t>
  </si>
  <si>
    <t>Trecho 16</t>
  </si>
  <si>
    <t>16-17</t>
  </si>
  <si>
    <t>Trecho 17</t>
  </si>
  <si>
    <t>17-18</t>
  </si>
  <si>
    <t>Trecho 18</t>
  </si>
  <si>
    <t>18-19</t>
  </si>
  <si>
    <t>Trecho 19</t>
  </si>
  <si>
    <t>20-Triagem</t>
  </si>
  <si>
    <t>Distância total da Rota:</t>
  </si>
  <si>
    <t>Distância Sem coleta de lixo</t>
  </si>
  <si>
    <t>Distância Com coleta de lixo</t>
  </si>
  <si>
    <t>OBS: 1-Os trechos que possuem a descrição "Sem Coleta", referem-se aos percursos do caminhão que vai da Triagem até o inicio do trecho ou do fim do trecho até a triagem, ou seja, não é realizada a coleta de residuos durante este percurso.               2-Os trechos "Sem Coleta" não possuim representação de linha colorida no mapa.</t>
  </si>
  <si>
    <t>OBS: 1-Os trechos que possuem a descrição "Sem Coleta", referem-se ao deslocamento do caminhão, da Triagem até o inicio do trecho ou do fim do trecho até a triagem, ou seja, não é realizada a coleta de residuos durante este percurso. 2-Os trechos "Sem Coleta" não possui uma representação de linha colorida no mapa.</t>
  </si>
  <si>
    <t xml:space="preserve">Locais de coleta:  Bairros  </t>
  </si>
  <si>
    <t>Locais de coleta:  Bairros</t>
  </si>
  <si>
    <t>8-9</t>
  </si>
  <si>
    <t>Locais de coleta:  Interior</t>
  </si>
  <si>
    <t>6-Triagem</t>
  </si>
  <si>
    <t>* OBS: A rota 3 da Equipe 1 (interior) é executada apenas uma vez por semana, ou seja, executado somente na quarta-feira</t>
  </si>
  <si>
    <t>Custo de aquisição do baú</t>
  </si>
  <si>
    <t>Vida útil do baú</t>
  </si>
  <si>
    <t>Idade do baú</t>
  </si>
  <si>
    <t>Depreciação do baú</t>
  </si>
  <si>
    <t>Depreciação mensal do baú</t>
  </si>
  <si>
    <t>Custo do baú</t>
  </si>
  <si>
    <t>Investimento médio total do baú</t>
  </si>
  <si>
    <t>Remuneração mensal de capital do baú</t>
  </si>
  <si>
    <t xml:space="preserve">Custo mensal com Arla </t>
  </si>
  <si>
    <t>Custo de arla/5% do consumo de Óleo Diesel</t>
  </si>
  <si>
    <t>1.2. Supervisor/Encarregado</t>
  </si>
  <si>
    <t xml:space="preserve">mês </t>
  </si>
  <si>
    <r>
      <t>Custo jg. compl. + 2</t>
    </r>
    <r>
      <rPr>
        <sz val="10"/>
        <rFont val="Arial"/>
        <family val="2"/>
      </rPr>
      <t xml:space="preserve"> recap./ km rodado</t>
    </r>
  </si>
  <si>
    <t xml:space="preserve">4. Gastos Gerais e Administrativos </t>
  </si>
  <si>
    <t xml:space="preserve">Encarregado </t>
  </si>
  <si>
    <t>Motorista - Abono indenizatório</t>
  </si>
  <si>
    <t xml:space="preserve">Plano de Benefício Social </t>
  </si>
  <si>
    <t>Fator de util.</t>
  </si>
  <si>
    <t>1.4. Vale Transporte</t>
  </si>
  <si>
    <t>1.5. Vale-refeição (diário)</t>
  </si>
  <si>
    <t>1.6. Auxílio Alimentação e Abono Indenizatório (mensal)</t>
  </si>
  <si>
    <t xml:space="preserve">1.7 Plano de Benefício Social  </t>
  </si>
  <si>
    <t xml:space="preserve">Composição dos Encargos Sociais </t>
  </si>
  <si>
    <t>Frota reserva 10%</t>
  </si>
  <si>
    <t>Custo do jogo de pneus xxx/xx Rxx</t>
  </si>
  <si>
    <t>4. Ferramentas, Materiais de Consumo, Lavagem</t>
  </si>
  <si>
    <t>Publicidade (adesivos equipamentos)</t>
  </si>
  <si>
    <t>Veículo de Apoio (15km/dia)</t>
  </si>
  <si>
    <t>Reciclador</t>
  </si>
  <si>
    <t>Operador de máquinas</t>
  </si>
  <si>
    <t xml:space="preserve">1.2. Supervisor/Encarregado </t>
  </si>
  <si>
    <t>1.7. Seguro de Vida (mensal)</t>
  </si>
  <si>
    <t xml:space="preserve">3.1.1. Serviços de máquinas </t>
  </si>
  <si>
    <t>3.1.2. Manutenção de instalações e equipamentos</t>
  </si>
  <si>
    <t xml:space="preserve">Manutenção de instalações e equipamentos </t>
  </si>
  <si>
    <t xml:space="preserve">Resumo Custo Edital Coleta de Resíduos Sólidos Domiciliares </t>
  </si>
  <si>
    <t xml:space="preserve">Descrição </t>
  </si>
  <si>
    <t>PO R$</t>
  </si>
  <si>
    <t>Total Geral</t>
  </si>
  <si>
    <t xml:space="preserve">1.8 Plano de Benefício Social  </t>
  </si>
  <si>
    <t>Mês</t>
  </si>
  <si>
    <t>Aterro Sanitário (em kg)</t>
  </si>
  <si>
    <t>Triados (em kg)</t>
  </si>
  <si>
    <t>Total Resíduos (em kg)</t>
  </si>
  <si>
    <t xml:space="preserve">Total Geral </t>
  </si>
  <si>
    <t xml:space="preserve">Nr. meses </t>
  </si>
  <si>
    <t>Média Mensal Ton</t>
  </si>
  <si>
    <t>Período: (Out/23 a out/24)</t>
  </si>
  <si>
    <t>1.4. Zelador</t>
  </si>
  <si>
    <t>Segunda à sexta</t>
  </si>
  <si>
    <t>Coletor/motorista</t>
  </si>
  <si>
    <t>Sábado</t>
  </si>
  <si>
    <t>Periodicidade: Segunda a sexta</t>
  </si>
  <si>
    <t>Segunda a sexta</t>
  </si>
  <si>
    <t xml:space="preserve">Todos </t>
  </si>
  <si>
    <t>Dimensionamento da frota</t>
  </si>
  <si>
    <t>Remuneração de Capital</t>
  </si>
  <si>
    <t>Depreciação Referencial TCE/RS (%)</t>
  </si>
  <si>
    <t xml:space="preserve">Serviços de Triagem </t>
  </si>
  <si>
    <t>Motorista - Cesta básica (participação de 20%)</t>
  </si>
  <si>
    <t>Zelador</t>
  </si>
  <si>
    <t>Reciclador/Zelador</t>
  </si>
  <si>
    <t>Serviço de Retroescavadeira s/operador (depreciação, remuneração capital, manutenção/pneus, peças e combustível) (4 hs/dia)</t>
  </si>
  <si>
    <t>1. Coleta de Resíduos Orgânicos</t>
  </si>
  <si>
    <t>2. Coleta de Resíduos Seletivos</t>
  </si>
  <si>
    <t xml:space="preserve">Obs: Previsto 08 horas semanais.  </t>
  </si>
  <si>
    <t xml:space="preserve">3.1. Veículo Coletor </t>
  </si>
  <si>
    <t>Coleta Seletiva</t>
  </si>
  <si>
    <t xml:space="preserve">Obs: Previsto 14 horas semanais.  </t>
  </si>
  <si>
    <t>Veículo de Apoio (5km/dia)</t>
  </si>
  <si>
    <t>Total dos Percursos de Coleta Orgânica</t>
  </si>
  <si>
    <t>Rota 1 -  Coleta de Resíduos Domésticos</t>
  </si>
  <si>
    <t>Rota 2 -  Coleta de Resíduos Domésticos</t>
  </si>
  <si>
    <t>Rota 3 -  Coleta de Resíduos Domésticos</t>
  </si>
  <si>
    <t>Rota 5 -  Coleta de Resíduos Domésticos</t>
  </si>
  <si>
    <t>Rota 6 -  Coleta de Resíduos Domésticos</t>
  </si>
  <si>
    <t>Segunda</t>
  </si>
  <si>
    <t xml:space="preserve">Quarta </t>
  </si>
  <si>
    <t>Quinta</t>
  </si>
  <si>
    <t>Sexta</t>
  </si>
  <si>
    <t>Equipe 3</t>
  </si>
  <si>
    <t>Rota 4</t>
  </si>
  <si>
    <t>Rota 6</t>
  </si>
  <si>
    <t>Total dos Percursos de Coleta Seletiva</t>
  </si>
  <si>
    <t>Rota 5</t>
  </si>
  <si>
    <t>8 - 9</t>
  </si>
  <si>
    <t>19 - Triagem</t>
  </si>
  <si>
    <t>19 -Triagem</t>
  </si>
  <si>
    <t xml:space="preserve"> Rota 4 -  Coleta de Resíduos Domésticos</t>
  </si>
  <si>
    <t xml:space="preserve">TOTAL MENSAL = ROTAS DE COLETA + TRANSPORTE </t>
  </si>
  <si>
    <t xml:space="preserve">  1 x </t>
  </si>
  <si>
    <t>nº de coletas semanais X soma das rotas</t>
  </si>
  <si>
    <t>Terça</t>
  </si>
  <si>
    <t xml:space="preserve">Obs: Incluido a inflação de 5,20% dos últimos 12 meses.  </t>
  </si>
  <si>
    <t xml:space="preserve">Camiseta manga curta com reflexivo </t>
  </si>
  <si>
    <t>Camiseta manga longa com reflexivo</t>
  </si>
  <si>
    <t xml:space="preserve">Bermudas </t>
  </si>
  <si>
    <t>Chapeu ou Boné tipo arabé</t>
  </si>
  <si>
    <t>Botina de segurança, ou tênis</t>
  </si>
  <si>
    <t xml:space="preserve">Óculos de proteção de radiação solar </t>
  </si>
  <si>
    <t>Custo de aquisição do Compactador</t>
  </si>
  <si>
    <t xml:space="preserve">Vida útil </t>
  </si>
  <si>
    <t xml:space="preserve">Idade </t>
  </si>
  <si>
    <t xml:space="preserve">Depreciação </t>
  </si>
  <si>
    <t xml:space="preserve">Depreciação mensal </t>
  </si>
  <si>
    <t xml:space="preserve">Investimento médio total </t>
  </si>
  <si>
    <t xml:space="preserve">Remuneração mensal de capital </t>
  </si>
  <si>
    <t xml:space="preserve">3. Serviços de separação de lixo orgânico e seletivo - Triagem </t>
  </si>
  <si>
    <t>Materiais diversos para processo produtivos (embalagens e outros)</t>
  </si>
  <si>
    <t xml:space="preserve">Publicidade Ambiental </t>
  </si>
  <si>
    <t>4. Ferramentas, Materiais de Consumo e Veículo de Apoio</t>
  </si>
  <si>
    <t>Total de horas por funcionário</t>
  </si>
  <si>
    <t xml:space="preserve">Cargo: Triador; Zelador e Operador   </t>
  </si>
  <si>
    <t xml:space="preserve">Obs: Previsto 22 horas semanais.  </t>
  </si>
  <si>
    <t xml:space="preserve">Coleta Orgânica </t>
  </si>
  <si>
    <t>Nova Hartz, 14 de maio de 2025</t>
  </si>
  <si>
    <t xml:space="preserve">ECZ, Assessoria, Consultoria e Treinamento Ltda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</si>
</sst>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 &quot;#,##0.00_);\(&quot;R$ &quot;#,##0.00\)"/>
    <numFmt numFmtId="165" formatCode="_(* #,##0.00_);_(* \(#,##0.00\);_(* &quot;-&quot;??_);_(@_)"/>
    <numFmt numFmtId="166" formatCode="_(* #,##0_);_(* \(#,##0\);_(* &quot;-&quot;??_);_(@_)"/>
    <numFmt numFmtId="167" formatCode="_(* #,##0.000_);_(* \(#,##0.000\);_(* &quot;-&quot;??_);_(@_)"/>
    <numFmt numFmtId="168" formatCode="&quot;R$ &quot;#,##0.00"/>
    <numFmt numFmtId="169" formatCode="_-* #,##0.00_-;\-* #,##0.00_-;_-* &quot;-&quot;?_-;_-@_-"/>
    <numFmt numFmtId="170" formatCode="_-* #,##0.0_-;\-* #,##0.0_-;_-* &quot;-&quot;??_-;_-@_-"/>
    <numFmt numFmtId="171" formatCode="_ * #,##0.00_ ;_ * \-#,##0.00_ ;_ * &quot;-&quot;??_ ;_ @_ "/>
    <numFmt numFmtId="172" formatCode="_(* #,##0.0000_);_(* \(#,##0.0000\);_(* &quot;-&quot;??_);_(@_)"/>
    <numFmt numFmtId="173" formatCode="#,##0.0"/>
    <numFmt numFmtId="174" formatCode="#,##0.00;[Red]#,##0.00"/>
    <numFmt numFmtId="175" formatCode="0.0"/>
    <numFmt numFmtId="176" formatCode="0.000"/>
    <numFmt numFmtId="177" formatCode="_-* #,##0.0000_-;\-* #,##0.0000_-;_-* &quot;-&quot;??_-;_-@_-"/>
    <numFmt numFmtId="178" formatCode="_-* #,##0.0_-;\-* #,##0.0_-;_-* &quot;-&quot;?_-;_-@_-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vertAlign val="subscript"/>
      <sz val="12"/>
      <color indexed="8"/>
      <name val="Arial"/>
      <family val="2"/>
    </font>
    <font>
      <sz val="12"/>
      <color indexed="8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3"/>
      <color theme="1"/>
      <name val="Arial"/>
      <family val="2"/>
    </font>
    <font>
      <sz val="10"/>
      <color theme="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BFBFBF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5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170" fontId="39" fillId="0" borderId="0" applyFont="0" applyFill="0" applyBorder="0" applyAlignment="0" applyProtection="0"/>
    <xf numFmtId="0" fontId="9" fillId="0" borderId="0"/>
    <xf numFmtId="0" fontId="10" fillId="0" borderId="0"/>
    <xf numFmtId="0" fontId="3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39" fillId="0" borderId="0" applyFont="0" applyFill="0" applyBorder="0" applyAlignment="0" applyProtection="0"/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0" fillId="0" borderId="0" applyFont="0" applyFill="0" applyBorder="0" applyAlignment="0" applyProtection="0"/>
    <xf numFmtId="0" fontId="8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2" fillId="0" borderId="0"/>
  </cellStyleXfs>
  <cellXfs count="511">
    <xf numFmtId="0" fontId="0" fillId="0" borderId="0" xfId="0"/>
    <xf numFmtId="0" fontId="15" fillId="0" borderId="0" xfId="0" applyFont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165" fontId="0" fillId="0" borderId="0" xfId="3" applyFont="1" applyAlignment="1">
      <alignment vertical="center"/>
    </xf>
    <xf numFmtId="0" fontId="10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5" fontId="15" fillId="0" borderId="0" xfId="3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165" fontId="15" fillId="0" borderId="2" xfId="3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165" fontId="15" fillId="0" borderId="1" xfId="3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65" fontId="15" fillId="0" borderId="0" xfId="3" applyFont="1" applyAlignment="1">
      <alignment horizontal="center" vertical="center"/>
    </xf>
    <xf numFmtId="165" fontId="12" fillId="2" borderId="4" xfId="3" applyFont="1" applyFill="1" applyBorder="1" applyAlignment="1">
      <alignment horizontal="center" vertical="center"/>
    </xf>
    <xf numFmtId="165" fontId="12" fillId="2" borderId="4" xfId="3" applyFont="1" applyFill="1" applyBorder="1" applyAlignment="1">
      <alignment vertical="center"/>
    </xf>
    <xf numFmtId="165" fontId="12" fillId="0" borderId="0" xfId="3" applyFont="1" applyFill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165" fontId="12" fillId="0" borderId="6" xfId="3" applyFont="1" applyBorder="1" applyAlignment="1">
      <alignment vertical="center"/>
    </xf>
    <xf numFmtId="165" fontId="12" fillId="0" borderId="7" xfId="3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165" fontId="15" fillId="0" borderId="6" xfId="3" applyFont="1" applyBorder="1" applyAlignment="1">
      <alignment vertical="center"/>
    </xf>
    <xf numFmtId="165" fontId="15" fillId="0" borderId="7" xfId="3" applyFont="1" applyBorder="1" applyAlignment="1">
      <alignment vertical="center"/>
    </xf>
    <xf numFmtId="165" fontId="12" fillId="0" borderId="0" xfId="3" applyFont="1" applyBorder="1" applyAlignment="1">
      <alignment horizontal="center" vertical="center"/>
    </xf>
    <xf numFmtId="3" fontId="15" fillId="0" borderId="0" xfId="0" applyNumberFormat="1" applyFont="1" applyAlignment="1">
      <alignment vertical="center"/>
    </xf>
    <xf numFmtId="165" fontId="12" fillId="0" borderId="0" xfId="3" applyFont="1" applyFill="1" applyBorder="1" applyAlignment="1">
      <alignment horizontal="center" vertical="center"/>
    </xf>
    <xf numFmtId="165" fontId="12" fillId="0" borderId="0" xfId="3" applyFont="1" applyBorder="1" applyAlignment="1">
      <alignment vertical="center"/>
    </xf>
    <xf numFmtId="165" fontId="14" fillId="0" borderId="0" xfId="3" applyFont="1" applyAlignment="1">
      <alignment vertical="center"/>
    </xf>
    <xf numFmtId="166" fontId="15" fillId="0" borderId="1" xfId="3" applyNumberFormat="1" applyFont="1" applyBorder="1" applyAlignment="1">
      <alignment vertical="center"/>
    </xf>
    <xf numFmtId="165" fontId="15" fillId="0" borderId="0" xfId="3" applyFont="1"/>
    <xf numFmtId="165" fontId="13" fillId="0" borderId="0" xfId="3" applyFont="1" applyAlignment="1">
      <alignment vertical="center"/>
    </xf>
    <xf numFmtId="165" fontId="0" fillId="0" borderId="11" xfId="3" applyFont="1" applyBorder="1" applyAlignment="1">
      <alignment vertical="center"/>
    </xf>
    <xf numFmtId="165" fontId="12" fillId="0" borderId="12" xfId="3" applyFont="1" applyBorder="1" applyAlignment="1">
      <alignment horizontal="center" vertical="center"/>
    </xf>
    <xf numFmtId="165" fontId="12" fillId="0" borderId="5" xfId="3" applyFont="1" applyBorder="1" applyAlignment="1">
      <alignment horizontal="left" vertical="center"/>
    </xf>
    <xf numFmtId="4" fontId="12" fillId="0" borderId="6" xfId="0" applyNumberFormat="1" applyFont="1" applyBorder="1" applyAlignment="1">
      <alignment horizontal="centerContinuous" vertical="center"/>
    </xf>
    <xf numFmtId="165" fontId="12" fillId="0" borderId="0" xfId="3" applyFont="1" applyAlignment="1">
      <alignment vertical="center"/>
    </xf>
    <xf numFmtId="165" fontId="0" fillId="0" borderId="9" xfId="0" applyNumberFormat="1" applyBorder="1" applyAlignment="1">
      <alignment vertical="center"/>
    </xf>
    <xf numFmtId="4" fontId="0" fillId="0" borderId="9" xfId="0" applyNumberFormat="1" applyBorder="1" applyAlignment="1">
      <alignment horizontal="centerContinuous" vertical="center"/>
    </xf>
    <xf numFmtId="165" fontId="0" fillId="0" borderId="9" xfId="3" applyFont="1" applyBorder="1" applyAlignment="1">
      <alignment vertical="center"/>
    </xf>
    <xf numFmtId="165" fontId="12" fillId="0" borderId="13" xfId="3" applyFont="1" applyBorder="1" applyAlignment="1">
      <alignment horizontal="right" vertical="center"/>
    </xf>
    <xf numFmtId="165" fontId="0" fillId="0" borderId="14" xfId="3" applyFont="1" applyBorder="1" applyAlignment="1">
      <alignment vertical="center"/>
    </xf>
    <xf numFmtId="165" fontId="15" fillId="0" borderId="1" xfId="3" applyFont="1" applyBorder="1" applyAlignment="1">
      <alignment vertical="center"/>
    </xf>
    <xf numFmtId="0" fontId="19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165" fontId="15" fillId="0" borderId="0" xfId="3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10" fontId="0" fillId="0" borderId="15" xfId="2" applyNumberFormat="1" applyFont="1" applyBorder="1" applyAlignment="1">
      <alignment vertical="center"/>
    </xf>
    <xf numFmtId="165" fontId="15" fillId="0" borderId="0" xfId="3" applyFont="1" applyBorder="1" applyAlignment="1">
      <alignment vertical="center"/>
    </xf>
    <xf numFmtId="0" fontId="21" fillId="2" borderId="16" xfId="0" applyFont="1" applyFill="1" applyBorder="1" applyAlignment="1">
      <alignment horizontal="center" vertical="center"/>
    </xf>
    <xf numFmtId="0" fontId="21" fillId="2" borderId="17" xfId="0" applyFont="1" applyFill="1" applyBorder="1" applyAlignment="1">
      <alignment horizontal="center" vertical="center"/>
    </xf>
    <xf numFmtId="165" fontId="21" fillId="2" borderId="17" xfId="3" applyFont="1" applyFill="1" applyBorder="1" applyAlignment="1">
      <alignment horizontal="center" vertical="center"/>
    </xf>
    <xf numFmtId="165" fontId="21" fillId="2" borderId="18" xfId="3" applyFont="1" applyFill="1" applyBorder="1" applyAlignment="1">
      <alignment horizontal="center" vertical="center"/>
    </xf>
    <xf numFmtId="165" fontId="12" fillId="0" borderId="19" xfId="3" applyFont="1" applyBorder="1" applyAlignment="1">
      <alignment horizontal="center" vertical="center"/>
    </xf>
    <xf numFmtId="165" fontId="10" fillId="0" borderId="14" xfId="3" applyFont="1" applyBorder="1" applyAlignment="1">
      <alignment horizontal="left" vertical="center"/>
    </xf>
    <xf numFmtId="165" fontId="15" fillId="0" borderId="9" xfId="3" applyFont="1" applyBorder="1" applyAlignment="1">
      <alignment vertical="center"/>
    </xf>
    <xf numFmtId="165" fontId="15" fillId="0" borderId="14" xfId="3" applyFont="1" applyBorder="1" applyAlignment="1">
      <alignment vertical="center"/>
    </xf>
    <xf numFmtId="166" fontId="15" fillId="0" borderId="0" xfId="3" applyNumberFormat="1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1" fontId="15" fillId="0" borderId="20" xfId="3" applyNumberFormat="1" applyFont="1" applyBorder="1" applyAlignment="1">
      <alignment horizontal="center" vertical="center"/>
    </xf>
    <xf numFmtId="165" fontId="12" fillId="0" borderId="28" xfId="3" applyFont="1" applyBorder="1" applyAlignment="1">
      <alignment vertical="center"/>
    </xf>
    <xf numFmtId="4" fontId="12" fillId="0" borderId="29" xfId="0" applyNumberFormat="1" applyFont="1" applyBorder="1" applyAlignment="1">
      <alignment vertical="center"/>
    </xf>
    <xf numFmtId="165" fontId="15" fillId="0" borderId="19" xfId="3" applyFont="1" applyBorder="1" applyAlignment="1">
      <alignment vertical="center"/>
    </xf>
    <xf numFmtId="165" fontId="15" fillId="0" borderId="11" xfId="3" applyFont="1" applyBorder="1" applyAlignment="1">
      <alignment vertical="center"/>
    </xf>
    <xf numFmtId="0" fontId="0" fillId="0" borderId="11" xfId="0" applyBorder="1" applyAlignment="1">
      <alignment vertical="center"/>
    </xf>
    <xf numFmtId="1" fontId="15" fillId="0" borderId="12" xfId="3" applyNumberFormat="1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29" xfId="0" applyBorder="1" applyAlignment="1">
      <alignment vertical="center"/>
    </xf>
    <xf numFmtId="1" fontId="12" fillId="0" borderId="31" xfId="3" applyNumberFormat="1" applyFont="1" applyBorder="1" applyAlignment="1">
      <alignment horizontal="center" vertical="center"/>
    </xf>
    <xf numFmtId="165" fontId="20" fillId="0" borderId="1" xfId="3" applyFont="1" applyBorder="1" applyAlignment="1">
      <alignment horizontal="center" vertical="center"/>
    </xf>
    <xf numFmtId="165" fontId="15" fillId="0" borderId="1" xfId="3" applyFont="1" applyFill="1" applyBorder="1" applyAlignment="1">
      <alignment horizontal="center" vertical="center"/>
    </xf>
    <xf numFmtId="165" fontId="19" fillId="0" borderId="0" xfId="3" applyFont="1" applyAlignment="1">
      <alignment vertical="center"/>
    </xf>
    <xf numFmtId="43" fontId="15" fillId="0" borderId="0" xfId="0" applyNumberFormat="1" applyFont="1" applyAlignment="1">
      <alignment vertical="center"/>
    </xf>
    <xf numFmtId="0" fontId="15" fillId="3" borderId="1" xfId="0" applyFont="1" applyFill="1" applyBorder="1" applyAlignment="1">
      <alignment horizontal="center" vertical="center"/>
    </xf>
    <xf numFmtId="165" fontId="15" fillId="3" borderId="2" xfId="3" applyFont="1" applyFill="1" applyBorder="1" applyAlignment="1">
      <alignment horizontal="center" vertical="center"/>
    </xf>
    <xf numFmtId="2" fontId="15" fillId="3" borderId="1" xfId="0" applyNumberFormat="1" applyFont="1" applyFill="1" applyBorder="1" applyAlignment="1">
      <alignment horizontal="center" vertical="center"/>
    </xf>
    <xf numFmtId="165" fontId="15" fillId="3" borderId="1" xfId="3" applyFont="1" applyFill="1" applyBorder="1" applyAlignment="1">
      <alignment horizontal="center" vertical="center"/>
    </xf>
    <xf numFmtId="1" fontId="15" fillId="3" borderId="1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vertical="center"/>
    </xf>
    <xf numFmtId="165" fontId="15" fillId="3" borderId="0" xfId="3" applyFont="1" applyFill="1" applyAlignment="1">
      <alignment vertical="center"/>
    </xf>
    <xf numFmtId="0" fontId="15" fillId="0" borderId="0" xfId="0" applyFont="1" applyAlignment="1">
      <alignment horizontal="right" vertical="center"/>
    </xf>
    <xf numFmtId="166" fontId="15" fillId="0" borderId="1" xfId="3" applyNumberFormat="1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4" fontId="15" fillId="3" borderId="2" xfId="0" applyNumberFormat="1" applyFont="1" applyFill="1" applyBorder="1" applyAlignment="1">
      <alignment horizontal="center" vertical="center"/>
    </xf>
    <xf numFmtId="167" fontId="15" fillId="3" borderId="2" xfId="3" applyNumberFormat="1" applyFont="1" applyFill="1" applyBorder="1" applyAlignment="1">
      <alignment horizontal="center" vertical="center"/>
    </xf>
    <xf numFmtId="3" fontId="15" fillId="3" borderId="1" xfId="0" applyNumberFormat="1" applyFont="1" applyFill="1" applyBorder="1" applyAlignment="1">
      <alignment horizontal="center" vertical="center"/>
    </xf>
    <xf numFmtId="4" fontId="15" fillId="3" borderId="1" xfId="0" applyNumberFormat="1" applyFont="1" applyFill="1" applyBorder="1" applyAlignment="1">
      <alignment horizontal="center" vertical="center"/>
    </xf>
    <xf numFmtId="13" fontId="15" fillId="3" borderId="1" xfId="0" applyNumberFormat="1" applyFont="1" applyFill="1" applyBorder="1" applyAlignment="1">
      <alignment horizontal="center" vertical="center"/>
    </xf>
    <xf numFmtId="166" fontId="15" fillId="0" borderId="1" xfId="3" applyNumberFormat="1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165" fontId="12" fillId="0" borderId="1" xfId="3" applyFont="1" applyBorder="1" applyAlignment="1">
      <alignment horizontal="center" vertical="center"/>
    </xf>
    <xf numFmtId="165" fontId="15" fillId="0" borderId="2" xfId="3" applyFont="1" applyFill="1" applyBorder="1" applyAlignment="1">
      <alignment horizontal="center" vertical="center"/>
    </xf>
    <xf numFmtId="0" fontId="17" fillId="0" borderId="0" xfId="1" applyAlignment="1" applyProtection="1">
      <alignment vertical="center"/>
    </xf>
    <xf numFmtId="0" fontId="12" fillId="0" borderId="0" xfId="0" applyFont="1"/>
    <xf numFmtId="0" fontId="21" fillId="2" borderId="32" xfId="0" applyFont="1" applyFill="1" applyBorder="1" applyAlignment="1">
      <alignment horizontal="center" vertical="center"/>
    </xf>
    <xf numFmtId="0" fontId="21" fillId="2" borderId="33" xfId="0" applyFont="1" applyFill="1" applyBorder="1" applyAlignment="1">
      <alignment horizontal="center" vertical="center"/>
    </xf>
    <xf numFmtId="165" fontId="21" fillId="2" borderId="33" xfId="3" applyFont="1" applyFill="1" applyBorder="1" applyAlignment="1">
      <alignment horizontal="center" vertical="center"/>
    </xf>
    <xf numFmtId="165" fontId="15" fillId="0" borderId="0" xfId="3" applyFont="1" applyFill="1" applyAlignment="1">
      <alignment vertical="center"/>
    </xf>
    <xf numFmtId="165" fontId="12" fillId="0" borderId="1" xfId="3" applyFont="1" applyFill="1" applyBorder="1" applyAlignment="1">
      <alignment horizontal="center" vertical="center"/>
    </xf>
    <xf numFmtId="3" fontId="15" fillId="3" borderId="1" xfId="0" applyNumberFormat="1" applyFont="1" applyFill="1" applyBorder="1" applyAlignment="1">
      <alignment vertical="center"/>
    </xf>
    <xf numFmtId="164" fontId="12" fillId="0" borderId="34" xfId="0" applyNumberFormat="1" applyFont="1" applyBorder="1" applyAlignment="1">
      <alignment vertical="center"/>
    </xf>
    <xf numFmtId="165" fontId="12" fillId="0" borderId="35" xfId="3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165" fontId="12" fillId="0" borderId="0" xfId="3" applyFont="1" applyAlignment="1">
      <alignment horizontal="center" vertical="center"/>
    </xf>
    <xf numFmtId="165" fontId="12" fillId="0" borderId="3" xfId="3" applyFont="1" applyBorder="1" applyAlignment="1">
      <alignment horizontal="center" vertical="center"/>
    </xf>
    <xf numFmtId="2" fontId="15" fillId="0" borderId="1" xfId="3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65" fontId="15" fillId="0" borderId="0" xfId="3" applyFont="1" applyAlignment="1">
      <alignment horizontal="right" vertical="center"/>
    </xf>
    <xf numFmtId="165" fontId="12" fillId="2" borderId="7" xfId="3" applyFont="1" applyFill="1" applyBorder="1" applyAlignment="1">
      <alignment horizontal="center" vertical="center"/>
    </xf>
    <xf numFmtId="165" fontId="12" fillId="0" borderId="14" xfId="3" applyFont="1" applyBorder="1" applyAlignment="1">
      <alignment vertical="center"/>
    </xf>
    <xf numFmtId="165" fontId="12" fillId="0" borderId="9" xfId="0" applyNumberFormat="1" applyFont="1" applyBorder="1" applyAlignment="1">
      <alignment vertical="center"/>
    </xf>
    <xf numFmtId="165" fontId="12" fillId="0" borderId="9" xfId="3" applyFont="1" applyBorder="1" applyAlignment="1">
      <alignment vertical="center"/>
    </xf>
    <xf numFmtId="10" fontId="12" fillId="0" borderId="15" xfId="2" applyNumberFormat="1" applyFont="1" applyBorder="1" applyAlignment="1">
      <alignment vertical="center"/>
    </xf>
    <xf numFmtId="165" fontId="12" fillId="0" borderId="38" xfId="3" applyFont="1" applyBorder="1" applyAlignment="1">
      <alignment vertical="center"/>
    </xf>
    <xf numFmtId="4" fontId="12" fillId="0" borderId="0" xfId="0" applyNumberFormat="1" applyFont="1" applyAlignment="1">
      <alignment vertical="center"/>
    </xf>
    <xf numFmtId="165" fontId="15" fillId="0" borderId="39" xfId="3" applyFont="1" applyBorder="1" applyAlignment="1">
      <alignment vertical="center"/>
    </xf>
    <xf numFmtId="165" fontId="15" fillId="0" borderId="40" xfId="3" applyFont="1" applyBorder="1" applyAlignment="1">
      <alignment vertical="center"/>
    </xf>
    <xf numFmtId="165" fontId="15" fillId="0" borderId="41" xfId="3" applyFont="1" applyBorder="1" applyAlignment="1">
      <alignment vertical="center"/>
    </xf>
    <xf numFmtId="0" fontId="15" fillId="0" borderId="41" xfId="0" applyFont="1" applyBorder="1" applyAlignment="1">
      <alignment vertical="center"/>
    </xf>
    <xf numFmtId="1" fontId="15" fillId="0" borderId="37" xfId="3" applyNumberFormat="1" applyFont="1" applyBorder="1" applyAlignment="1">
      <alignment horizontal="center" vertical="center"/>
    </xf>
    <xf numFmtId="4" fontId="12" fillId="0" borderId="9" xfId="0" applyNumberFormat="1" applyFont="1" applyBorder="1" applyAlignment="1">
      <alignment horizontal="centerContinuous" vertical="center"/>
    </xf>
    <xf numFmtId="4" fontId="15" fillId="0" borderId="0" xfId="0" applyNumberFormat="1" applyFont="1" applyAlignment="1">
      <alignment vertical="center"/>
    </xf>
    <xf numFmtId="165" fontId="15" fillId="6" borderId="1" xfId="3" applyFont="1" applyFill="1" applyBorder="1" applyAlignment="1">
      <alignment horizontal="center" vertical="center"/>
    </xf>
    <xf numFmtId="165" fontId="15" fillId="6" borderId="1" xfId="3" applyFont="1" applyFill="1" applyBorder="1" applyAlignment="1">
      <alignment vertical="center"/>
    </xf>
    <xf numFmtId="9" fontId="12" fillId="0" borderId="18" xfId="2" applyFont="1" applyBorder="1" applyAlignment="1">
      <alignment vertical="center"/>
    </xf>
    <xf numFmtId="10" fontId="15" fillId="0" borderId="15" xfId="2" applyNumberFormat="1" applyFont="1" applyBorder="1" applyAlignment="1">
      <alignment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165" fontId="15" fillId="0" borderId="1" xfId="0" applyNumberFormat="1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0" fillId="0" borderId="38" xfId="0" applyBorder="1" applyAlignment="1">
      <alignment vertical="center"/>
    </xf>
    <xf numFmtId="165" fontId="0" fillId="0" borderId="0" xfId="3" applyFont="1" applyFill="1" applyBorder="1" applyAlignment="1">
      <alignment vertical="center"/>
    </xf>
    <xf numFmtId="165" fontId="0" fillId="0" borderId="39" xfId="3" applyFont="1" applyFill="1" applyBorder="1" applyAlignment="1">
      <alignment vertical="center"/>
    </xf>
    <xf numFmtId="166" fontId="12" fillId="0" borderId="0" xfId="3" applyNumberFormat="1" applyFont="1" applyBorder="1" applyAlignment="1">
      <alignment horizontal="center" vertical="center"/>
    </xf>
    <xf numFmtId="2" fontId="26" fillId="7" borderId="1" xfId="0" applyNumberFormat="1" applyFont="1" applyFill="1" applyBorder="1" applyAlignment="1">
      <alignment horizontal="right" vertical="center"/>
    </xf>
    <xf numFmtId="0" fontId="26" fillId="0" borderId="23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2" fontId="26" fillId="7" borderId="36" xfId="0" applyNumberFormat="1" applyFont="1" applyFill="1" applyBorder="1" applyAlignment="1">
      <alignment horizontal="right" vertical="center"/>
    </xf>
    <xf numFmtId="0" fontId="26" fillId="0" borderId="23" xfId="0" applyFont="1" applyBorder="1" applyAlignment="1">
      <alignment horizontal="left" vertical="center"/>
    </xf>
    <xf numFmtId="0" fontId="26" fillId="0" borderId="1" xfId="0" applyFont="1" applyBorder="1" applyAlignment="1">
      <alignment horizontal="left" vertical="center"/>
    </xf>
    <xf numFmtId="0" fontId="26" fillId="0" borderId="20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0" fontId="26" fillId="0" borderId="20" xfId="0" applyNumberFormat="1" applyFont="1" applyBorder="1" applyAlignment="1">
      <alignment horizontal="right" vertical="center"/>
    </xf>
    <xf numFmtId="0" fontId="30" fillId="0" borderId="1" xfId="0" applyFont="1" applyBorder="1" applyAlignment="1">
      <alignment horizontal="left" vertical="center"/>
    </xf>
    <xf numFmtId="10" fontId="30" fillId="0" borderId="20" xfId="0" applyNumberFormat="1" applyFont="1" applyBorder="1" applyAlignment="1">
      <alignment horizontal="right" vertical="center"/>
    </xf>
    <xf numFmtId="0" fontId="26" fillId="5" borderId="23" xfId="0" applyFont="1" applyFill="1" applyBorder="1" applyAlignment="1">
      <alignment horizontal="left" vertical="center"/>
    </xf>
    <xf numFmtId="0" fontId="30" fillId="5" borderId="1" xfId="0" applyFont="1" applyFill="1" applyBorder="1" applyAlignment="1">
      <alignment horizontal="left" vertical="center"/>
    </xf>
    <xf numFmtId="10" fontId="30" fillId="5" borderId="20" xfId="0" applyNumberFormat="1" applyFont="1" applyFill="1" applyBorder="1" applyAlignment="1">
      <alignment horizontal="right" vertical="center"/>
    </xf>
    <xf numFmtId="0" fontId="31" fillId="0" borderId="1" xfId="0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9" fontId="26" fillId="0" borderId="0" xfId="2" applyFont="1" applyBorder="1" applyAlignment="1">
      <alignment horizontal="right" vertical="center"/>
    </xf>
    <xf numFmtId="0" fontId="26" fillId="0" borderId="1" xfId="0" applyFont="1" applyBorder="1" applyAlignment="1">
      <alignment horizontal="left" vertical="center" wrapText="1"/>
    </xf>
    <xf numFmtId="0" fontId="26" fillId="9" borderId="24" xfId="0" applyFont="1" applyFill="1" applyBorder="1" applyAlignment="1">
      <alignment horizontal="left" vertical="center"/>
    </xf>
    <xf numFmtId="0" fontId="30" fillId="9" borderId="36" xfId="0" applyFont="1" applyFill="1" applyBorder="1" applyAlignment="1">
      <alignment horizontal="left" vertical="center"/>
    </xf>
    <xf numFmtId="10" fontId="30" fillId="9" borderId="37" xfId="0" applyNumberFormat="1" applyFont="1" applyFill="1" applyBorder="1" applyAlignment="1">
      <alignment horizontal="right" vertical="center"/>
    </xf>
    <xf numFmtId="0" fontId="30" fillId="0" borderId="0" xfId="0" applyFont="1" applyAlignment="1">
      <alignment horizontal="left" vertical="center"/>
    </xf>
    <xf numFmtId="10" fontId="30" fillId="0" borderId="0" xfId="0" applyNumberFormat="1" applyFont="1" applyAlignment="1">
      <alignment horizontal="right" vertical="center"/>
    </xf>
    <xf numFmtId="0" fontId="32" fillId="4" borderId="0" xfId="0" applyFont="1" applyFill="1" applyAlignment="1">
      <alignment horizontal="left" vertical="center"/>
    </xf>
    <xf numFmtId="10" fontId="26" fillId="0" borderId="0" xfId="0" applyNumberFormat="1" applyFont="1" applyAlignment="1">
      <alignment horizontal="right" vertical="center"/>
    </xf>
    <xf numFmtId="0" fontId="26" fillId="4" borderId="0" xfId="0" applyFont="1" applyFill="1" applyAlignment="1">
      <alignment horizontal="left" vertical="center"/>
    </xf>
    <xf numFmtId="0" fontId="33" fillId="0" borderId="0" xfId="0" applyFont="1" applyAlignment="1">
      <alignment horizontal="justify" vertical="center"/>
    </xf>
    <xf numFmtId="0" fontId="17" fillId="0" borderId="0" xfId="1" applyBorder="1" applyAlignment="1" applyProtection="1">
      <alignment horizontal="left" vertical="center"/>
    </xf>
    <xf numFmtId="0" fontId="34" fillId="0" borderId="0" xfId="0" applyFont="1"/>
    <xf numFmtId="0" fontId="26" fillId="0" borderId="0" xfId="0" applyFont="1" applyAlignment="1">
      <alignment horizontal="right" vertical="center"/>
    </xf>
    <xf numFmtId="0" fontId="17" fillId="0" borderId="0" xfId="1" applyBorder="1" applyAlignment="1" applyProtection="1">
      <alignment vertical="center"/>
    </xf>
    <xf numFmtId="0" fontId="14" fillId="0" borderId="23" xfId="0" applyFont="1" applyBorder="1"/>
    <xf numFmtId="0" fontId="14" fillId="3" borderId="20" xfId="0" applyFont="1" applyFill="1" applyBorder="1"/>
    <xf numFmtId="0" fontId="14" fillId="0" borderId="38" xfId="0" applyFont="1" applyBorder="1"/>
    <xf numFmtId="0" fontId="16" fillId="0" borderId="38" xfId="0" applyFont="1" applyBorder="1" applyAlignment="1">
      <alignment horizontal="left" vertical="center"/>
    </xf>
    <xf numFmtId="9" fontId="14" fillId="0" borderId="23" xfId="2" applyFont="1" applyBorder="1"/>
    <xf numFmtId="9" fontId="14" fillId="0" borderId="1" xfId="2" applyFont="1" applyBorder="1" applyAlignment="1">
      <alignment horizontal="center"/>
    </xf>
    <xf numFmtId="9" fontId="14" fillId="0" borderId="20" xfId="2" applyFont="1" applyBorder="1"/>
    <xf numFmtId="0" fontId="14" fillId="0" borderId="21" xfId="0" applyFont="1" applyBorder="1" applyAlignment="1">
      <alignment horizontal="left" vertical="center"/>
    </xf>
    <xf numFmtId="0" fontId="14" fillId="0" borderId="22" xfId="0" applyFont="1" applyBorder="1" applyAlignment="1">
      <alignment horizontal="center" vertical="center"/>
    </xf>
    <xf numFmtId="10" fontId="14" fillId="3" borderId="12" xfId="0" applyNumberFormat="1" applyFont="1" applyFill="1" applyBorder="1" applyAlignment="1">
      <alignment horizontal="center" vertical="center"/>
    </xf>
    <xf numFmtId="10" fontId="14" fillId="0" borderId="20" xfId="2" applyNumberFormat="1" applyFont="1" applyBorder="1"/>
    <xf numFmtId="0" fontId="14" fillId="0" borderId="23" xfId="0" applyFont="1" applyBorder="1" applyAlignment="1">
      <alignment horizontal="left" vertical="center"/>
    </xf>
    <xf numFmtId="10" fontId="14" fillId="3" borderId="20" xfId="0" applyNumberFormat="1" applyFont="1" applyFill="1" applyBorder="1" applyAlignment="1">
      <alignment horizontal="center" vertical="center"/>
    </xf>
    <xf numFmtId="10" fontId="14" fillId="0" borderId="20" xfId="0" applyNumberFormat="1" applyFont="1" applyBorder="1" applyAlignment="1">
      <alignment horizontal="center" vertical="center"/>
    </xf>
    <xf numFmtId="10" fontId="14" fillId="3" borderId="1" xfId="2" applyNumberFormat="1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4" fillId="0" borderId="20" xfId="0" applyFont="1" applyBorder="1"/>
    <xf numFmtId="0" fontId="14" fillId="0" borderId="24" xfId="0" applyFont="1" applyBorder="1" applyAlignment="1">
      <alignment horizontal="left" vertical="center"/>
    </xf>
    <xf numFmtId="10" fontId="14" fillId="3" borderId="37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25" xfId="0" applyFont="1" applyBorder="1" applyAlignment="1">
      <alignment vertical="center"/>
    </xf>
    <xf numFmtId="0" fontId="14" fillId="0" borderId="26" xfId="0" applyFont="1" applyBorder="1" applyAlignment="1">
      <alignment vertical="center"/>
    </xf>
    <xf numFmtId="10" fontId="14" fillId="0" borderId="27" xfId="0" applyNumberFormat="1" applyFont="1" applyBorder="1" applyAlignment="1">
      <alignment vertical="center"/>
    </xf>
    <xf numFmtId="0" fontId="14" fillId="0" borderId="28" xfId="0" applyFont="1" applyBorder="1" applyAlignment="1">
      <alignment horizontal="left" vertical="center"/>
    </xf>
    <xf numFmtId="0" fontId="14" fillId="0" borderId="29" xfId="0" applyFont="1" applyBorder="1" applyAlignment="1">
      <alignment horizontal="left" vertical="center"/>
    </xf>
    <xf numFmtId="0" fontId="14" fillId="0" borderId="30" xfId="0" applyFont="1" applyBorder="1" applyAlignment="1">
      <alignment vertical="center"/>
    </xf>
    <xf numFmtId="0" fontId="16" fillId="5" borderId="5" xfId="0" applyFont="1" applyFill="1" applyBorder="1" applyAlignment="1">
      <alignment vertical="center" wrapText="1"/>
    </xf>
    <xf numFmtId="0" fontId="14" fillId="5" borderId="6" xfId="0" applyFont="1" applyFill="1" applyBorder="1" applyAlignment="1">
      <alignment vertical="center"/>
    </xf>
    <xf numFmtId="10" fontId="14" fillId="0" borderId="23" xfId="2" applyNumberFormat="1" applyFont="1" applyBorder="1" applyAlignment="1">
      <alignment horizontal="right"/>
    </xf>
    <xf numFmtId="10" fontId="14" fillId="0" borderId="1" xfId="2" applyNumberFormat="1" applyFont="1" applyBorder="1" applyAlignment="1">
      <alignment horizontal="right"/>
    </xf>
    <xf numFmtId="10" fontId="14" fillId="0" borderId="20" xfId="2" applyNumberFormat="1" applyFont="1" applyBorder="1" applyAlignment="1">
      <alignment horizontal="right"/>
    </xf>
    <xf numFmtId="10" fontId="14" fillId="0" borderId="24" xfId="2" applyNumberFormat="1" applyFont="1" applyBorder="1" applyAlignment="1">
      <alignment horizontal="right"/>
    </xf>
    <xf numFmtId="10" fontId="14" fillId="0" borderId="36" xfId="2" applyNumberFormat="1" applyFont="1" applyBorder="1" applyAlignment="1">
      <alignment horizontal="right"/>
    </xf>
    <xf numFmtId="10" fontId="14" fillId="0" borderId="37" xfId="2" applyNumberFormat="1" applyFont="1" applyBorder="1" applyAlignment="1">
      <alignment horizontal="right"/>
    </xf>
    <xf numFmtId="0" fontId="15" fillId="0" borderId="50" xfId="0" applyFont="1" applyBorder="1"/>
    <xf numFmtId="0" fontId="27" fillId="0" borderId="50" xfId="0" applyFont="1" applyBorder="1" applyAlignment="1">
      <alignment horizontal="justify"/>
    </xf>
    <xf numFmtId="0" fontId="27" fillId="0" borderId="51" xfId="0" applyFont="1" applyBorder="1" applyAlignment="1">
      <alignment horizontal="justify"/>
    </xf>
    <xf numFmtId="0" fontId="25" fillId="10" borderId="49" xfId="0" applyFont="1" applyFill="1" applyBorder="1" applyAlignment="1">
      <alignment horizontal="center"/>
    </xf>
    <xf numFmtId="1" fontId="15" fillId="0" borderId="0" xfId="3" applyNumberFormat="1" applyFont="1" applyBorder="1" applyAlignment="1">
      <alignment horizontal="center" vertical="center"/>
    </xf>
    <xf numFmtId="0" fontId="15" fillId="0" borderId="8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165" fontId="15" fillId="3" borderId="9" xfId="3" applyFont="1" applyFill="1" applyBorder="1" applyAlignment="1">
      <alignment vertical="center"/>
    </xf>
    <xf numFmtId="165" fontId="15" fillId="0" borderId="10" xfId="3" applyFont="1" applyBorder="1" applyAlignment="1">
      <alignment vertical="center"/>
    </xf>
    <xf numFmtId="165" fontId="12" fillId="0" borderId="7" xfId="3" applyFont="1" applyBorder="1" applyAlignment="1">
      <alignment horizontal="right" vertical="center"/>
    </xf>
    <xf numFmtId="165" fontId="12" fillId="2" borderId="4" xfId="3" applyFont="1" applyFill="1" applyBorder="1" applyAlignment="1">
      <alignment horizontal="right" vertical="center"/>
    </xf>
    <xf numFmtId="168" fontId="12" fillId="0" borderId="1" xfId="0" applyNumberFormat="1" applyFont="1" applyBorder="1" applyAlignment="1">
      <alignment vertical="center"/>
    </xf>
    <xf numFmtId="168" fontId="0" fillId="0" borderId="1" xfId="0" applyNumberFormat="1" applyBorder="1" applyAlignment="1">
      <alignment vertical="center"/>
    </xf>
    <xf numFmtId="168" fontId="12" fillId="0" borderId="36" xfId="0" applyNumberFormat="1" applyFont="1" applyBorder="1" applyAlignment="1">
      <alignment vertical="center"/>
    </xf>
    <xf numFmtId="165" fontId="12" fillId="0" borderId="11" xfId="3" applyFont="1" applyBorder="1" applyAlignment="1">
      <alignment vertical="center"/>
    </xf>
    <xf numFmtId="165" fontId="12" fillId="0" borderId="5" xfId="3" applyFont="1" applyBorder="1" applyAlignment="1">
      <alignment vertical="center"/>
    </xf>
    <xf numFmtId="0" fontId="13" fillId="0" borderId="3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0" fillId="7" borderId="1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165" fontId="12" fillId="0" borderId="9" xfId="3" applyFont="1" applyBorder="1" applyAlignment="1">
      <alignment horizontal="center" vertical="center"/>
    </xf>
    <xf numFmtId="0" fontId="21" fillId="2" borderId="17" xfId="0" applyFont="1" applyFill="1" applyBorder="1" applyAlignment="1">
      <alignment horizontal="center" vertical="center" wrapText="1"/>
    </xf>
    <xf numFmtId="167" fontId="15" fillId="0" borderId="1" xfId="3" applyNumberFormat="1" applyFont="1" applyBorder="1" applyAlignment="1">
      <alignment horizontal="center" vertical="center"/>
    </xf>
    <xf numFmtId="166" fontId="12" fillId="0" borderId="1" xfId="3" applyNumberFormat="1" applyFont="1" applyBorder="1" applyAlignment="1">
      <alignment horizontal="center" vertical="center"/>
    </xf>
    <xf numFmtId="167" fontId="12" fillId="0" borderId="1" xfId="3" applyNumberFormat="1" applyFont="1" applyBorder="1" applyAlignment="1">
      <alignment horizontal="center" vertical="center"/>
    </xf>
    <xf numFmtId="167" fontId="15" fillId="0" borderId="2" xfId="3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0" fillId="0" borderId="0" xfId="0" applyFont="1"/>
    <xf numFmtId="0" fontId="12" fillId="0" borderId="52" xfId="0" applyFont="1" applyBorder="1" applyAlignment="1">
      <alignment vertical="center"/>
    </xf>
    <xf numFmtId="0" fontId="12" fillId="0" borderId="52" xfId="0" applyFont="1" applyBorder="1" applyAlignment="1">
      <alignment horizontal="center" vertical="center"/>
    </xf>
    <xf numFmtId="165" fontId="12" fillId="0" borderId="52" xfId="3" applyFont="1" applyBorder="1" applyAlignment="1">
      <alignment horizontal="center" vertical="center"/>
    </xf>
    <xf numFmtId="165" fontId="12" fillId="0" borderId="52" xfId="3" applyFont="1" applyFill="1" applyBorder="1" applyAlignment="1">
      <alignment horizontal="center" vertical="center"/>
    </xf>
    <xf numFmtId="4" fontId="10" fillId="0" borderId="0" xfId="0" applyNumberFormat="1" applyFont="1" applyAlignment="1">
      <alignment vertical="center"/>
    </xf>
    <xf numFmtId="0" fontId="16" fillId="0" borderId="23" xfId="0" applyFont="1" applyBorder="1"/>
    <xf numFmtId="0" fontId="16" fillId="0" borderId="1" xfId="0" applyFont="1" applyBorder="1"/>
    <xf numFmtId="0" fontId="16" fillId="0" borderId="20" xfId="0" applyFont="1" applyBorder="1"/>
    <xf numFmtId="0" fontId="14" fillId="0" borderId="1" xfId="0" applyFont="1" applyBorder="1"/>
    <xf numFmtId="169" fontId="14" fillId="0" borderId="20" xfId="0" applyNumberFormat="1" applyFont="1" applyBorder="1"/>
    <xf numFmtId="2" fontId="14" fillId="0" borderId="20" xfId="0" applyNumberFormat="1" applyFont="1" applyBorder="1"/>
    <xf numFmtId="0" fontId="14" fillId="0" borderId="24" xfId="0" applyFont="1" applyBorder="1"/>
    <xf numFmtId="0" fontId="14" fillId="0" borderId="36" xfId="0" applyFont="1" applyBorder="1"/>
    <xf numFmtId="169" fontId="14" fillId="3" borderId="20" xfId="0" applyNumberFormat="1" applyFont="1" applyFill="1" applyBorder="1"/>
    <xf numFmtId="169" fontId="14" fillId="0" borderId="37" xfId="0" applyNumberFormat="1" applyFont="1" applyBorder="1"/>
    <xf numFmtId="0" fontId="25" fillId="0" borderId="1" xfId="0" applyFont="1" applyBorder="1" applyAlignment="1">
      <alignment horizontal="center"/>
    </xf>
    <xf numFmtId="0" fontId="25" fillId="0" borderId="23" xfId="0" applyFont="1" applyBorder="1" applyAlignment="1">
      <alignment horizontal="center"/>
    </xf>
    <xf numFmtId="0" fontId="25" fillId="0" borderId="20" xfId="0" applyFont="1" applyBorder="1" applyAlignment="1">
      <alignment horizontal="center"/>
    </xf>
    <xf numFmtId="0" fontId="14" fillId="0" borderId="23" xfId="0" applyFont="1" applyBorder="1" applyAlignment="1">
      <alignment horizontal="right"/>
    </xf>
    <xf numFmtId="4" fontId="37" fillId="0" borderId="0" xfId="0" applyNumberFormat="1" applyFont="1" applyAlignment="1">
      <alignment vertical="center"/>
    </xf>
    <xf numFmtId="4" fontId="38" fillId="0" borderId="0" xfId="0" applyNumberFormat="1" applyFont="1" applyAlignment="1">
      <alignment vertical="center"/>
    </xf>
    <xf numFmtId="0" fontId="10" fillId="0" borderId="2" xfId="0" applyFont="1" applyBorder="1" applyAlignment="1">
      <alignment vertical="center"/>
    </xf>
    <xf numFmtId="169" fontId="14" fillId="0" borderId="0" xfId="0" applyNumberFormat="1" applyFont="1"/>
    <xf numFmtId="0" fontId="40" fillId="0" borderId="0" xfId="4" applyFont="1"/>
    <xf numFmtId="0" fontId="9" fillId="0" borderId="0" xfId="4"/>
    <xf numFmtId="0" fontId="9" fillId="0" borderId="1" xfId="4" applyBorder="1"/>
    <xf numFmtId="43" fontId="9" fillId="0" borderId="0" xfId="4" applyNumberFormat="1"/>
    <xf numFmtId="165" fontId="9" fillId="0" borderId="0" xfId="3" applyFont="1"/>
    <xf numFmtId="165" fontId="10" fillId="3" borderId="2" xfId="3" applyFont="1" applyFill="1" applyBorder="1" applyAlignment="1">
      <alignment horizontal="center" vertical="center"/>
    </xf>
    <xf numFmtId="10" fontId="12" fillId="3" borderId="7" xfId="2" applyNumberFormat="1" applyFont="1" applyFill="1" applyBorder="1" applyAlignment="1">
      <alignment vertical="center"/>
    </xf>
    <xf numFmtId="172" fontId="15" fillId="0" borderId="1" xfId="3" applyNumberFormat="1" applyFont="1" applyBorder="1" applyAlignment="1">
      <alignment vertical="center"/>
    </xf>
    <xf numFmtId="0" fontId="40" fillId="0" borderId="0" xfId="25" applyFont="1"/>
    <xf numFmtId="0" fontId="8" fillId="0" borderId="0" xfId="25"/>
    <xf numFmtId="0" fontId="40" fillId="0" borderId="1" xfId="25" applyFont="1" applyBorder="1"/>
    <xf numFmtId="0" fontId="40" fillId="0" borderId="1" xfId="25" applyFont="1" applyBorder="1" applyAlignment="1">
      <alignment horizontal="center"/>
    </xf>
    <xf numFmtId="20" fontId="40" fillId="0" borderId="1" xfId="25" applyNumberFormat="1" applyFont="1" applyBorder="1"/>
    <xf numFmtId="0" fontId="8" fillId="0" borderId="8" xfId="25" applyBorder="1"/>
    <xf numFmtId="0" fontId="8" fillId="0" borderId="9" xfId="25" applyBorder="1"/>
    <xf numFmtId="0" fontId="8" fillId="0" borderId="1" xfId="25" applyBorder="1"/>
    <xf numFmtId="0" fontId="40" fillId="0" borderId="8" xfId="25" applyFont="1" applyBorder="1"/>
    <xf numFmtId="0" fontId="40" fillId="0" borderId="9" xfId="25" applyFont="1" applyBorder="1"/>
    <xf numFmtId="10" fontId="40" fillId="0" borderId="1" xfId="2" applyNumberFormat="1" applyFont="1" applyBorder="1"/>
    <xf numFmtId="165" fontId="8" fillId="0" borderId="0" xfId="3" applyFont="1"/>
    <xf numFmtId="0" fontId="10" fillId="0" borderId="1" xfId="0" applyFont="1" applyBorder="1" applyAlignment="1">
      <alignment vertical="center"/>
    </xf>
    <xf numFmtId="165" fontId="8" fillId="0" borderId="1" xfId="3" applyFont="1" applyBorder="1"/>
    <xf numFmtId="0" fontId="10" fillId="0" borderId="2" xfId="0" applyFont="1" applyBorder="1" applyAlignment="1">
      <alignment horizontal="center" vertical="center"/>
    </xf>
    <xf numFmtId="0" fontId="6" fillId="0" borderId="0" xfId="30"/>
    <xf numFmtId="0" fontId="6" fillId="0" borderId="0" xfId="30" applyAlignment="1">
      <alignment horizontal="center"/>
    </xf>
    <xf numFmtId="0" fontId="6" fillId="0" borderId="16" xfId="30" applyBorder="1" applyAlignment="1">
      <alignment horizontal="center" vertical="center"/>
    </xf>
    <xf numFmtId="0" fontId="6" fillId="0" borderId="17" xfId="30" applyBorder="1" applyAlignment="1">
      <alignment horizontal="center" vertical="center"/>
    </xf>
    <xf numFmtId="0" fontId="6" fillId="0" borderId="18" xfId="30" applyBorder="1" applyAlignment="1">
      <alignment horizontal="center" vertical="center"/>
    </xf>
    <xf numFmtId="2" fontId="6" fillId="0" borderId="48" xfId="30" applyNumberFormat="1" applyBorder="1"/>
    <xf numFmtId="0" fontId="6" fillId="0" borderId="1" xfId="30" applyBorder="1" applyAlignment="1">
      <alignment horizontal="center"/>
    </xf>
    <xf numFmtId="2" fontId="6" fillId="0" borderId="20" xfId="30" applyNumberFormat="1" applyBorder="1"/>
    <xf numFmtId="49" fontId="6" fillId="0" borderId="1" xfId="30" applyNumberFormat="1" applyBorder="1" applyAlignment="1">
      <alignment horizontal="center"/>
    </xf>
    <xf numFmtId="173" fontId="0" fillId="0" borderId="1" xfId="31" applyNumberFormat="1" applyFont="1" applyBorder="1" applyAlignment="1">
      <alignment horizontal="right"/>
    </xf>
    <xf numFmtId="2" fontId="6" fillId="0" borderId="37" xfId="30" applyNumberFormat="1" applyBorder="1"/>
    <xf numFmtId="0" fontId="6" fillId="0" borderId="48" xfId="30" applyBorder="1"/>
    <xf numFmtId="0" fontId="6" fillId="0" borderId="20" xfId="30" applyBorder="1"/>
    <xf numFmtId="0" fontId="40" fillId="0" borderId="37" xfId="30" applyFont="1" applyBorder="1"/>
    <xf numFmtId="173" fontId="40" fillId="0" borderId="1" xfId="31" applyNumberFormat="1" applyFont="1" applyBorder="1"/>
    <xf numFmtId="2" fontId="40" fillId="0" borderId="1" xfId="31" applyNumberFormat="1" applyFont="1" applyBorder="1"/>
    <xf numFmtId="2" fontId="0" fillId="0" borderId="1" xfId="31" applyNumberFormat="1" applyFont="1" applyBorder="1" applyAlignment="1">
      <alignment horizontal="right"/>
    </xf>
    <xf numFmtId="165" fontId="40" fillId="0" borderId="1" xfId="3" applyFont="1" applyBorder="1"/>
    <xf numFmtId="165" fontId="15" fillId="0" borderId="0" xfId="0" applyNumberFormat="1" applyFont="1" applyAlignment="1">
      <alignment vertical="center"/>
    </xf>
    <xf numFmtId="4" fontId="13" fillId="0" borderId="0" xfId="0" applyNumberFormat="1" applyFont="1" applyAlignment="1">
      <alignment vertical="center"/>
    </xf>
    <xf numFmtId="2" fontId="15" fillId="0" borderId="1" xfId="0" applyNumberFormat="1" applyFont="1" applyBorder="1" applyAlignment="1">
      <alignment horizontal="center" vertical="center"/>
    </xf>
    <xf numFmtId="0" fontId="42" fillId="0" borderId="0" xfId="4" applyFont="1"/>
    <xf numFmtId="173" fontId="0" fillId="0" borderId="1" xfId="33" applyNumberFormat="1" applyFont="1" applyBorder="1" applyAlignment="1">
      <alignment horizontal="right"/>
    </xf>
    <xf numFmtId="175" fontId="15" fillId="0" borderId="1" xfId="0" applyNumberFormat="1" applyFont="1" applyBorder="1" applyAlignment="1">
      <alignment horizontal="center" vertical="center"/>
    </xf>
    <xf numFmtId="20" fontId="8" fillId="0" borderId="0" xfId="25" applyNumberFormat="1"/>
    <xf numFmtId="1" fontId="40" fillId="0" borderId="1" xfId="25" applyNumberFormat="1" applyFont="1" applyBorder="1"/>
    <xf numFmtId="0" fontId="10" fillId="0" borderId="1" xfId="0" applyFont="1" applyBorder="1" applyAlignment="1">
      <alignment horizontal="center" vertical="center"/>
    </xf>
    <xf numFmtId="165" fontId="10" fillId="0" borderId="0" xfId="3" applyFont="1" applyAlignment="1">
      <alignment vertical="center"/>
    </xf>
    <xf numFmtId="165" fontId="12" fillId="0" borderId="14" xfId="3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172" fontId="15" fillId="0" borderId="0" xfId="3" applyNumberFormat="1" applyFont="1" applyBorder="1" applyAlignment="1">
      <alignment vertical="center"/>
    </xf>
    <xf numFmtId="165" fontId="10" fillId="0" borderId="0" xfId="3" applyFont="1" applyFill="1" applyBorder="1" applyAlignment="1">
      <alignment horizontal="center" vertical="center"/>
    </xf>
    <xf numFmtId="0" fontId="4" fillId="0" borderId="0" xfId="30" applyFont="1"/>
    <xf numFmtId="173" fontId="10" fillId="0" borderId="1" xfId="31" applyNumberFormat="1" applyFont="1" applyBorder="1" applyAlignment="1">
      <alignment horizontal="right"/>
    </xf>
    <xf numFmtId="174" fontId="6" fillId="0" borderId="0" xfId="30" applyNumberFormat="1"/>
    <xf numFmtId="0" fontId="6" fillId="0" borderId="23" xfId="30" applyBorder="1" applyAlignment="1">
      <alignment horizontal="center"/>
    </xf>
    <xf numFmtId="0" fontId="40" fillId="0" borderId="20" xfId="30" applyFont="1" applyBorder="1"/>
    <xf numFmtId="0" fontId="6" fillId="0" borderId="47" xfId="30" applyBorder="1" applyAlignment="1">
      <alignment horizontal="center"/>
    </xf>
    <xf numFmtId="0" fontId="6" fillId="0" borderId="2" xfId="30" applyBorder="1" applyAlignment="1">
      <alignment horizontal="center"/>
    </xf>
    <xf numFmtId="49" fontId="6" fillId="0" borderId="2" xfId="30" applyNumberFormat="1" applyBorder="1" applyAlignment="1">
      <alignment horizontal="center"/>
    </xf>
    <xf numFmtId="173" fontId="6" fillId="0" borderId="2" xfId="30" applyNumberFormat="1" applyBorder="1" applyAlignment="1">
      <alignment horizontal="right"/>
    </xf>
    <xf numFmtId="0" fontId="6" fillId="0" borderId="24" xfId="30" applyBorder="1" applyAlignment="1">
      <alignment horizontal="center"/>
    </xf>
    <xf numFmtId="0" fontId="6" fillId="0" borderId="36" xfId="30" applyBorder="1" applyAlignment="1">
      <alignment horizontal="center"/>
    </xf>
    <xf numFmtId="0" fontId="6" fillId="0" borderId="37" xfId="30" applyBorder="1" applyAlignment="1">
      <alignment horizontal="center"/>
    </xf>
    <xf numFmtId="173" fontId="5" fillId="0" borderId="2" xfId="32" applyNumberFormat="1" applyBorder="1" applyAlignment="1">
      <alignment horizontal="right"/>
    </xf>
    <xf numFmtId="2" fontId="0" fillId="0" borderId="3" xfId="31" applyNumberFormat="1" applyFont="1" applyBorder="1" applyAlignment="1">
      <alignment horizontal="right"/>
    </xf>
    <xf numFmtId="0" fontId="6" fillId="0" borderId="54" xfId="30" applyBorder="1"/>
    <xf numFmtId="0" fontId="41" fillId="0" borderId="0" xfId="30" applyFont="1" applyAlignment="1">
      <alignment horizontal="left" vertical="center" wrapText="1" indent="1"/>
    </xf>
    <xf numFmtId="0" fontId="41" fillId="0" borderId="0" xfId="30" applyFont="1" applyAlignment="1">
      <alignment horizontal="center" vertical="center" wrapText="1"/>
    </xf>
    <xf numFmtId="165" fontId="10" fillId="3" borderId="1" xfId="3" applyFont="1" applyFill="1" applyBorder="1" applyAlignment="1">
      <alignment horizontal="center" vertical="center"/>
    </xf>
    <xf numFmtId="166" fontId="10" fillId="0" borderId="1" xfId="3" applyNumberFormat="1" applyFont="1" applyFill="1" applyBorder="1" applyAlignment="1">
      <alignment vertical="center"/>
    </xf>
    <xf numFmtId="165" fontId="10" fillId="0" borderId="1" xfId="3" applyFont="1" applyBorder="1" applyAlignment="1">
      <alignment vertical="center"/>
    </xf>
    <xf numFmtId="1" fontId="10" fillId="0" borderId="1" xfId="3" applyNumberFormat="1" applyFont="1" applyFill="1" applyBorder="1" applyAlignment="1">
      <alignment horizontal="center" vertical="center"/>
    </xf>
    <xf numFmtId="44" fontId="10" fillId="3" borderId="1" xfId="6" applyFont="1" applyFill="1" applyBorder="1" applyAlignment="1">
      <alignment horizontal="center" vertical="center"/>
    </xf>
    <xf numFmtId="44" fontId="10" fillId="3" borderId="1" xfId="6" applyFont="1" applyFill="1" applyBorder="1" applyAlignment="1">
      <alignment vertical="center"/>
    </xf>
    <xf numFmtId="0" fontId="11" fillId="0" borderId="55" xfId="0" applyFont="1" applyBorder="1" applyAlignment="1">
      <alignment vertical="center"/>
    </xf>
    <xf numFmtId="165" fontId="10" fillId="0" borderId="0" xfId="3" applyFont="1" applyAlignment="1">
      <alignment horizontal="right" vertical="center"/>
    </xf>
    <xf numFmtId="172" fontId="10" fillId="0" borderId="1" xfId="3" applyNumberFormat="1" applyFont="1" applyBorder="1" applyAlignment="1">
      <alignment vertical="center"/>
    </xf>
    <xf numFmtId="44" fontId="12" fillId="2" borderId="4" xfId="6" applyFont="1" applyFill="1" applyBorder="1" applyAlignment="1">
      <alignment vertical="center"/>
    </xf>
    <xf numFmtId="176" fontId="8" fillId="0" borderId="0" xfId="25" applyNumberFormat="1"/>
    <xf numFmtId="2" fontId="8" fillId="0" borderId="1" xfId="25" applyNumberFormat="1" applyBorder="1"/>
    <xf numFmtId="2" fontId="40" fillId="0" borderId="1" xfId="25" applyNumberFormat="1" applyFont="1" applyBorder="1"/>
    <xf numFmtId="10" fontId="10" fillId="0" borderId="0" xfId="0" applyNumberFormat="1" applyFont="1"/>
    <xf numFmtId="165" fontId="10" fillId="0" borderId="2" xfId="3" applyFont="1" applyBorder="1" applyAlignment="1">
      <alignment horizontal="center" vertic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165" fontId="15" fillId="3" borderId="1" xfId="3" applyFont="1" applyFill="1" applyBorder="1" applyAlignment="1">
      <alignment vertical="center"/>
    </xf>
    <xf numFmtId="165" fontId="15" fillId="0" borderId="0" xfId="3" applyFont="1" applyFill="1" applyBorder="1" applyAlignment="1">
      <alignment vertical="center"/>
    </xf>
    <xf numFmtId="165" fontId="10" fillId="0" borderId="1" xfId="3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3" fontId="15" fillId="0" borderId="1" xfId="0" applyNumberFormat="1" applyFont="1" applyBorder="1" applyAlignment="1">
      <alignment vertical="center"/>
    </xf>
    <xf numFmtId="13" fontId="10" fillId="0" borderId="1" xfId="0" applyNumberFormat="1" applyFont="1" applyBorder="1" applyAlignment="1">
      <alignment horizontal="center" vertical="center"/>
    </xf>
    <xf numFmtId="10" fontId="16" fillId="5" borderId="7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43" fillId="0" borderId="0" xfId="30" applyFont="1" applyAlignment="1">
      <alignment vertical="center"/>
    </xf>
    <xf numFmtId="165" fontId="44" fillId="0" borderId="0" xfId="30" applyNumberFormat="1" applyFont="1"/>
    <xf numFmtId="165" fontId="0" fillId="0" borderId="0" xfId="3" applyFont="1"/>
    <xf numFmtId="43" fontId="0" fillId="0" borderId="0" xfId="0" applyNumberFormat="1"/>
    <xf numFmtId="17" fontId="45" fillId="0" borderId="1" xfId="0" applyNumberFormat="1" applyFont="1" applyBorder="1" applyAlignment="1">
      <alignment horizontal="center" vertical="center"/>
    </xf>
    <xf numFmtId="0" fontId="3" fillId="0" borderId="1" xfId="4" applyFont="1" applyBorder="1"/>
    <xf numFmtId="0" fontId="40" fillId="0" borderId="1" xfId="4" applyFont="1" applyBorder="1" applyAlignment="1">
      <alignment wrapText="1"/>
    </xf>
    <xf numFmtId="43" fontId="40" fillId="0" borderId="1" xfId="4" applyNumberFormat="1" applyFont="1" applyBorder="1"/>
    <xf numFmtId="166" fontId="45" fillId="0" borderId="1" xfId="3" applyNumberFormat="1" applyFont="1" applyBorder="1" applyAlignment="1">
      <alignment horizontal="center" vertical="center"/>
    </xf>
    <xf numFmtId="166" fontId="9" fillId="0" borderId="1" xfId="4" applyNumberFormat="1" applyBorder="1"/>
    <xf numFmtId="166" fontId="9" fillId="0" borderId="1" xfId="3" applyNumberFormat="1" applyFont="1" applyBorder="1"/>
    <xf numFmtId="0" fontId="46" fillId="11" borderId="1" xfId="0" applyFont="1" applyFill="1" applyBorder="1" applyAlignment="1">
      <alignment horizontal="center" vertical="center" wrapText="1"/>
    </xf>
    <xf numFmtId="177" fontId="31" fillId="0" borderId="20" xfId="3" applyNumberFormat="1" applyFont="1" applyBorder="1" applyAlignment="1">
      <alignment horizontal="center" vertical="center" wrapText="1"/>
    </xf>
    <xf numFmtId="178" fontId="14" fillId="3" borderId="20" xfId="0" applyNumberFormat="1" applyFont="1" applyFill="1" applyBorder="1"/>
    <xf numFmtId="0" fontId="6" fillId="0" borderId="1" xfId="30" applyBorder="1" applyAlignment="1">
      <alignment horizontal="center" vertical="center"/>
    </xf>
    <xf numFmtId="0" fontId="6" fillId="0" borderId="36" xfId="30" applyBorder="1" applyAlignment="1">
      <alignment horizontal="center" vertical="center"/>
    </xf>
    <xf numFmtId="49" fontId="2" fillId="0" borderId="1" xfId="30" applyNumberFormat="1" applyFont="1" applyBorder="1" applyAlignment="1">
      <alignment horizontal="center"/>
    </xf>
    <xf numFmtId="0" fontId="2" fillId="0" borderId="23" xfId="30" applyFont="1" applyBorder="1" applyAlignment="1">
      <alignment horizontal="center" vertical="center" wrapText="1"/>
    </xf>
    <xf numFmtId="0" fontId="2" fillId="0" borderId="47" xfId="30" applyFont="1" applyBorder="1" applyAlignment="1">
      <alignment horizontal="center" vertical="center" wrapText="1"/>
    </xf>
    <xf numFmtId="0" fontId="2" fillId="0" borderId="1" xfId="30" applyFont="1" applyBorder="1" applyAlignment="1">
      <alignment horizontal="center" vertical="center"/>
    </xf>
    <xf numFmtId="0" fontId="2" fillId="0" borderId="2" xfId="30" applyFont="1" applyBorder="1" applyAlignment="1">
      <alignment horizontal="center" vertical="center"/>
    </xf>
    <xf numFmtId="0" fontId="2" fillId="0" borderId="36" xfId="30" applyFont="1" applyBorder="1" applyAlignment="1">
      <alignment horizontal="center" vertical="center"/>
    </xf>
    <xf numFmtId="0" fontId="2" fillId="0" borderId="1" xfId="30" applyFont="1" applyBorder="1" applyAlignment="1">
      <alignment horizontal="center"/>
    </xf>
    <xf numFmtId="0" fontId="2" fillId="0" borderId="36" xfId="30" applyFont="1" applyBorder="1" applyAlignment="1">
      <alignment horizontal="center"/>
    </xf>
    <xf numFmtId="0" fontId="2" fillId="0" borderId="46" xfId="30" applyFont="1" applyBorder="1" applyAlignment="1">
      <alignment horizontal="center" vertical="center" wrapText="1"/>
    </xf>
    <xf numFmtId="2" fontId="6" fillId="0" borderId="2" xfId="30" applyNumberFormat="1" applyBorder="1" applyAlignment="1">
      <alignment horizontal="right" vertical="center"/>
    </xf>
    <xf numFmtId="2" fontId="6" fillId="0" borderId="1" xfId="30" applyNumberFormat="1" applyBorder="1" applyAlignment="1">
      <alignment horizontal="right" vertical="center"/>
    </xf>
    <xf numFmtId="174" fontId="40" fillId="0" borderId="36" xfId="30" applyNumberFormat="1" applyFont="1" applyBorder="1" applyAlignment="1">
      <alignment horizontal="right"/>
    </xf>
    <xf numFmtId="0" fontId="2" fillId="0" borderId="23" xfId="30" applyFont="1" applyBorder="1" applyAlignment="1">
      <alignment horizontal="center"/>
    </xf>
    <xf numFmtId="49" fontId="2" fillId="0" borderId="2" xfId="30" applyNumberFormat="1" applyFont="1" applyBorder="1" applyAlignment="1">
      <alignment horizontal="center"/>
    </xf>
    <xf numFmtId="173" fontId="10" fillId="0" borderId="1" xfId="33" applyNumberFormat="1" applyFont="1" applyBorder="1" applyAlignment="1">
      <alignment horizontal="right"/>
    </xf>
    <xf numFmtId="0" fontId="2" fillId="0" borderId="2" xfId="30" applyFont="1" applyBorder="1" applyAlignment="1">
      <alignment horizontal="right"/>
    </xf>
    <xf numFmtId="0" fontId="6" fillId="0" borderId="22" xfId="30" applyBorder="1" applyAlignment="1">
      <alignment horizontal="center" vertical="center"/>
    </xf>
    <xf numFmtId="0" fontId="6" fillId="0" borderId="22" xfId="30" applyBorder="1" applyAlignment="1">
      <alignment horizontal="center"/>
    </xf>
    <xf numFmtId="2" fontId="6" fillId="0" borderId="12" xfId="30" applyNumberFormat="1" applyBorder="1"/>
    <xf numFmtId="2" fontId="6" fillId="0" borderId="22" xfId="30" applyNumberFormat="1" applyBorder="1" applyAlignment="1">
      <alignment horizontal="right" vertical="center"/>
    </xf>
    <xf numFmtId="2" fontId="6" fillId="0" borderId="36" xfId="30" applyNumberFormat="1" applyBorder="1" applyAlignment="1">
      <alignment horizontal="right" vertical="center"/>
    </xf>
    <xf numFmtId="0" fontId="2" fillId="4" borderId="2" xfId="30" applyFont="1" applyFill="1" applyBorder="1" applyAlignment="1">
      <alignment horizontal="center"/>
    </xf>
    <xf numFmtId="0" fontId="2" fillId="4" borderId="1" xfId="30" applyFont="1" applyFill="1" applyBorder="1" applyAlignment="1">
      <alignment horizontal="center"/>
    </xf>
    <xf numFmtId="0" fontId="2" fillId="4" borderId="36" xfId="30" applyFont="1" applyFill="1" applyBorder="1" applyAlignment="1">
      <alignment horizontal="center"/>
    </xf>
    <xf numFmtId="13" fontId="10" fillId="3" borderId="1" xfId="0" applyNumberFormat="1" applyFont="1" applyFill="1" applyBorder="1" applyAlignment="1">
      <alignment vertical="center"/>
    </xf>
    <xf numFmtId="165" fontId="0" fillId="3" borderId="1" xfId="3" applyFont="1" applyFill="1" applyBorder="1"/>
    <xf numFmtId="0" fontId="21" fillId="0" borderId="1" xfId="0" applyFont="1" applyBorder="1" applyAlignment="1">
      <alignment horizontal="center" vertical="center"/>
    </xf>
    <xf numFmtId="0" fontId="1" fillId="0" borderId="8" xfId="25" applyFont="1" applyBorder="1"/>
    <xf numFmtId="172" fontId="8" fillId="0" borderId="1" xfId="3" applyNumberFormat="1" applyFont="1" applyBorder="1"/>
    <xf numFmtId="0" fontId="13" fillId="0" borderId="0" xfId="0" applyFont="1"/>
    <xf numFmtId="0" fontId="37" fillId="0" borderId="0" xfId="0" applyFont="1"/>
    <xf numFmtId="0" fontId="47" fillId="0" borderId="0" xfId="30" applyFont="1"/>
    <xf numFmtId="0" fontId="48" fillId="0" borderId="0" xfId="30" applyFont="1"/>
    <xf numFmtId="0" fontId="47" fillId="0" borderId="56" xfId="30" applyFont="1" applyBorder="1" applyAlignment="1">
      <alignment horizontal="center"/>
    </xf>
    <xf numFmtId="0" fontId="27" fillId="0" borderId="56" xfId="30" applyFont="1" applyBorder="1" applyAlignment="1">
      <alignment horizontal="center"/>
    </xf>
    <xf numFmtId="0" fontId="27" fillId="0" borderId="56" xfId="30" applyFont="1" applyBorder="1" applyAlignment="1">
      <alignment wrapText="1"/>
    </xf>
    <xf numFmtId="165" fontId="27" fillId="0" borderId="56" xfId="30" applyNumberFormat="1" applyFont="1" applyBorder="1"/>
    <xf numFmtId="0" fontId="27" fillId="0" borderId="56" xfId="30" applyFont="1" applyBorder="1"/>
    <xf numFmtId="0" fontId="47" fillId="0" borderId="56" xfId="30" applyFont="1" applyBorder="1"/>
    <xf numFmtId="165" fontId="47" fillId="0" borderId="56" xfId="30" applyNumberFormat="1" applyFont="1" applyBorder="1"/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25" fillId="8" borderId="25" xfId="0" applyFont="1" applyFill="1" applyBorder="1" applyAlignment="1">
      <alignment horizontal="center" vertical="center"/>
    </xf>
    <xf numFmtId="0" fontId="25" fillId="8" borderId="26" xfId="0" applyFont="1" applyFill="1" applyBorder="1" applyAlignment="1">
      <alignment horizontal="center" vertical="center"/>
    </xf>
    <xf numFmtId="0" fontId="25" fillId="8" borderId="27" xfId="0" applyFont="1" applyFill="1" applyBorder="1" applyAlignment="1">
      <alignment horizontal="center" vertical="center"/>
    </xf>
    <xf numFmtId="0" fontId="16" fillId="8" borderId="44" xfId="0" applyFont="1" applyFill="1" applyBorder="1" applyAlignment="1">
      <alignment horizontal="center" vertical="center"/>
    </xf>
    <xf numFmtId="0" fontId="16" fillId="8" borderId="42" xfId="0" applyFont="1" applyFill="1" applyBorder="1" applyAlignment="1">
      <alignment horizontal="center" vertical="center"/>
    </xf>
    <xf numFmtId="0" fontId="16" fillId="8" borderId="45" xfId="0" applyFont="1" applyFill="1" applyBorder="1" applyAlignment="1">
      <alignment horizontal="center" vertical="center"/>
    </xf>
    <xf numFmtId="165" fontId="13" fillId="8" borderId="5" xfId="3" applyFont="1" applyFill="1" applyBorder="1" applyAlignment="1">
      <alignment horizontal="center" vertical="center"/>
    </xf>
    <xf numFmtId="165" fontId="13" fillId="8" borderId="6" xfId="3" applyFont="1" applyFill="1" applyBorder="1" applyAlignment="1">
      <alignment horizontal="center" vertical="center"/>
    </xf>
    <xf numFmtId="165" fontId="13" fillId="8" borderId="7" xfId="3" applyFont="1" applyFill="1" applyBorder="1" applyAlignment="1">
      <alignment horizontal="center" vertical="center"/>
    </xf>
    <xf numFmtId="165" fontId="12" fillId="0" borderId="14" xfId="3" applyFont="1" applyBorder="1" applyAlignment="1">
      <alignment horizontal="left" vertical="center"/>
    </xf>
    <xf numFmtId="165" fontId="12" fillId="0" borderId="9" xfId="3" applyFont="1" applyBorder="1" applyAlignment="1">
      <alignment horizontal="left" vertical="center"/>
    </xf>
    <xf numFmtId="165" fontId="12" fillId="0" borderId="5" xfId="3" applyFont="1" applyBorder="1" applyAlignment="1">
      <alignment horizontal="center" vertical="center"/>
    </xf>
    <xf numFmtId="165" fontId="12" fillId="0" borderId="6" xfId="3" applyFont="1" applyBorder="1" applyAlignment="1">
      <alignment horizontal="center" vertical="center"/>
    </xf>
    <xf numFmtId="165" fontId="12" fillId="0" borderId="43" xfId="3" applyFont="1" applyBorder="1" applyAlignment="1">
      <alignment horizontal="center" vertical="center"/>
    </xf>
    <xf numFmtId="0" fontId="25" fillId="8" borderId="21" xfId="0" applyFont="1" applyFill="1" applyBorder="1" applyAlignment="1">
      <alignment horizontal="center" vertical="center"/>
    </xf>
    <xf numFmtId="0" fontId="25" fillId="8" borderId="22" xfId="0" applyFont="1" applyFill="1" applyBorder="1" applyAlignment="1">
      <alignment horizontal="center" vertical="center"/>
    </xf>
    <xf numFmtId="0" fontId="25" fillId="8" borderId="12" xfId="0" applyFont="1" applyFill="1" applyBorder="1" applyAlignment="1">
      <alignment horizontal="center" vertical="center"/>
    </xf>
    <xf numFmtId="0" fontId="13" fillId="10" borderId="25" xfId="0" applyFont="1" applyFill="1" applyBorder="1" applyAlignment="1">
      <alignment horizontal="center" vertical="center"/>
    </xf>
    <xf numFmtId="0" fontId="13" fillId="10" borderId="26" xfId="0" applyFont="1" applyFill="1" applyBorder="1" applyAlignment="1">
      <alignment horizontal="center" vertical="center"/>
    </xf>
    <xf numFmtId="0" fontId="13" fillId="10" borderId="27" xfId="0" applyFont="1" applyFill="1" applyBorder="1" applyAlignment="1">
      <alignment horizontal="center" vertical="center"/>
    </xf>
    <xf numFmtId="9" fontId="16" fillId="0" borderId="21" xfId="2" applyFont="1" applyBorder="1" applyAlignment="1">
      <alignment horizontal="center"/>
    </xf>
    <xf numFmtId="9" fontId="16" fillId="0" borderId="22" xfId="2" applyFont="1" applyBorder="1" applyAlignment="1">
      <alignment horizontal="center"/>
    </xf>
    <xf numFmtId="9" fontId="16" fillId="0" borderId="12" xfId="2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6" fillId="0" borderId="23" xfId="30" applyBorder="1" applyAlignment="1">
      <alignment horizontal="left"/>
    </xf>
    <xf numFmtId="0" fontId="6" fillId="0" borderId="1" xfId="30" applyBorder="1" applyAlignment="1">
      <alignment horizontal="left"/>
    </xf>
    <xf numFmtId="0" fontId="6" fillId="0" borderId="20" xfId="30" applyBorder="1" applyAlignment="1">
      <alignment horizontal="left"/>
    </xf>
    <xf numFmtId="0" fontId="41" fillId="0" borderId="25" xfId="30" applyFont="1" applyBorder="1" applyAlignment="1">
      <alignment horizontal="left" vertical="center" wrapText="1" indent="1"/>
    </xf>
    <xf numFmtId="0" fontId="41" fillId="0" borderId="26" xfId="30" applyFont="1" applyBorder="1" applyAlignment="1">
      <alignment horizontal="left" vertical="center" wrapText="1" indent="1"/>
    </xf>
    <xf numFmtId="0" fontId="41" fillId="0" borderId="27" xfId="30" applyFont="1" applyBorder="1" applyAlignment="1">
      <alignment horizontal="left" vertical="center" wrapText="1" indent="1"/>
    </xf>
    <xf numFmtId="0" fontId="41" fillId="0" borderId="38" xfId="30" applyFont="1" applyBorder="1" applyAlignment="1">
      <alignment horizontal="left" vertical="center" wrapText="1" indent="1"/>
    </xf>
    <xf numFmtId="0" fontId="41" fillId="0" borderId="0" xfId="30" applyFont="1" applyAlignment="1">
      <alignment horizontal="left" vertical="center" wrapText="1" indent="1"/>
    </xf>
    <xf numFmtId="0" fontId="41" fillId="0" borderId="39" xfId="30" applyFont="1" applyBorder="1" applyAlignment="1">
      <alignment horizontal="left" vertical="center" wrapText="1" indent="1"/>
    </xf>
    <xf numFmtId="0" fontId="41" fillId="0" borderId="28" xfId="30" applyFont="1" applyBorder="1" applyAlignment="1">
      <alignment horizontal="left" vertical="center" wrapText="1" indent="1"/>
    </xf>
    <xf numFmtId="0" fontId="41" fillId="0" borderId="29" xfId="30" applyFont="1" applyBorder="1" applyAlignment="1">
      <alignment horizontal="left" vertical="center" wrapText="1" indent="1"/>
    </xf>
    <xf numFmtId="0" fontId="41" fillId="0" borderId="30" xfId="30" applyFont="1" applyBorder="1" applyAlignment="1">
      <alignment horizontal="left" vertical="center" wrapText="1" indent="1"/>
    </xf>
    <xf numFmtId="0" fontId="41" fillId="0" borderId="25" xfId="30" applyFont="1" applyBorder="1" applyAlignment="1">
      <alignment horizontal="center" vertical="center" wrapText="1"/>
    </xf>
    <xf numFmtId="0" fontId="41" fillId="0" borderId="26" xfId="30" applyFont="1" applyBorder="1" applyAlignment="1">
      <alignment horizontal="center" vertical="center" wrapText="1"/>
    </xf>
    <xf numFmtId="0" fontId="41" fillId="0" borderId="27" xfId="30" applyFont="1" applyBorder="1" applyAlignment="1">
      <alignment horizontal="center" vertical="center" wrapText="1"/>
    </xf>
    <xf numFmtId="0" fontId="41" fillId="0" borderId="38" xfId="30" applyFont="1" applyBorder="1" applyAlignment="1">
      <alignment horizontal="center" vertical="center" wrapText="1"/>
    </xf>
    <xf numFmtId="0" fontId="41" fillId="0" borderId="0" xfId="30" applyFont="1" applyAlignment="1">
      <alignment horizontal="center" vertical="center" wrapText="1"/>
    </xf>
    <xf numFmtId="0" fontId="41" fillId="0" borderId="39" xfId="30" applyFont="1" applyBorder="1" applyAlignment="1">
      <alignment horizontal="center" vertical="center" wrapText="1"/>
    </xf>
    <xf numFmtId="0" fontId="41" fillId="0" borderId="28" xfId="30" applyFont="1" applyBorder="1" applyAlignment="1">
      <alignment horizontal="center" vertical="center" wrapText="1"/>
    </xf>
    <xf numFmtId="0" fontId="41" fillId="0" borderId="29" xfId="30" applyFont="1" applyBorder="1" applyAlignment="1">
      <alignment horizontal="center" vertical="center" wrapText="1"/>
    </xf>
    <xf numFmtId="0" fontId="41" fillId="0" borderId="30" xfId="30" applyFont="1" applyBorder="1" applyAlignment="1">
      <alignment horizontal="center" vertical="center" wrapText="1"/>
    </xf>
    <xf numFmtId="0" fontId="6" fillId="0" borderId="23" xfId="30" applyBorder="1" applyAlignment="1">
      <alignment horizontal="right"/>
    </xf>
    <xf numFmtId="0" fontId="6" fillId="0" borderId="1" xfId="30" applyBorder="1" applyAlignment="1">
      <alignment horizontal="right"/>
    </xf>
    <xf numFmtId="0" fontId="6" fillId="0" borderId="23" xfId="30" applyBorder="1" applyAlignment="1">
      <alignment horizontal="center"/>
    </xf>
    <xf numFmtId="0" fontId="6" fillId="0" borderId="1" xfId="30" applyBorder="1" applyAlignment="1">
      <alignment horizontal="center"/>
    </xf>
    <xf numFmtId="0" fontId="6" fillId="0" borderId="20" xfId="30" applyBorder="1" applyAlignment="1">
      <alignment horizontal="center"/>
    </xf>
    <xf numFmtId="0" fontId="6" fillId="0" borderId="46" xfId="30" applyBorder="1" applyAlignment="1">
      <alignment horizontal="right"/>
    </xf>
    <xf numFmtId="0" fontId="6" fillId="0" borderId="3" xfId="30" applyBorder="1" applyAlignment="1">
      <alignment horizontal="right"/>
    </xf>
    <xf numFmtId="0" fontId="6" fillId="0" borderId="47" xfId="30" applyBorder="1" applyAlignment="1">
      <alignment horizontal="center"/>
    </xf>
    <xf numFmtId="0" fontId="6" fillId="0" borderId="2" xfId="30" applyBorder="1" applyAlignment="1">
      <alignment horizontal="center"/>
    </xf>
    <xf numFmtId="0" fontId="6" fillId="0" borderId="48" xfId="30" applyBorder="1" applyAlignment="1">
      <alignment horizontal="center"/>
    </xf>
    <xf numFmtId="0" fontId="40" fillId="0" borderId="16" xfId="30" applyFont="1" applyBorder="1" applyAlignment="1">
      <alignment horizontal="center"/>
    </xf>
    <xf numFmtId="0" fontId="40" fillId="0" borderId="17" xfId="30" applyFont="1" applyBorder="1" applyAlignment="1">
      <alignment horizontal="center"/>
    </xf>
    <xf numFmtId="0" fontId="40" fillId="0" borderId="18" xfId="30" applyFont="1" applyBorder="1" applyAlignment="1">
      <alignment horizontal="center"/>
    </xf>
    <xf numFmtId="0" fontId="40" fillId="0" borderId="24" xfId="30" applyFont="1" applyBorder="1" applyAlignment="1">
      <alignment horizontal="right"/>
    </xf>
    <xf numFmtId="0" fontId="40" fillId="0" borderId="36" xfId="30" applyFont="1" applyBorder="1" applyAlignment="1">
      <alignment horizontal="right"/>
    </xf>
    <xf numFmtId="0" fontId="6" fillId="0" borderId="16" xfId="30" applyBorder="1" applyAlignment="1">
      <alignment horizontal="center" vertical="center" wrapText="1"/>
    </xf>
    <xf numFmtId="0" fontId="6" fillId="0" borderId="17" xfId="30" applyBorder="1" applyAlignment="1">
      <alignment horizontal="center" vertical="center" wrapText="1"/>
    </xf>
    <xf numFmtId="0" fontId="6" fillId="0" borderId="18" xfId="30" applyBorder="1" applyAlignment="1">
      <alignment horizontal="center" vertical="center" wrapText="1"/>
    </xf>
    <xf numFmtId="0" fontId="6" fillId="0" borderId="21" xfId="30" applyBorder="1" applyAlignment="1">
      <alignment horizontal="center" vertical="center" wrapText="1"/>
    </xf>
    <xf numFmtId="0" fontId="6" fillId="0" borderId="23" xfId="30" applyBorder="1" applyAlignment="1">
      <alignment horizontal="center" vertical="center" wrapText="1"/>
    </xf>
    <xf numFmtId="0" fontId="41" fillId="0" borderId="21" xfId="30" applyFont="1" applyBorder="1" applyAlignment="1">
      <alignment horizontal="center" vertical="center" wrapText="1"/>
    </xf>
    <xf numFmtId="0" fontId="41" fillId="0" borderId="22" xfId="30" applyFont="1" applyBorder="1" applyAlignment="1">
      <alignment horizontal="center" vertical="center" wrapText="1"/>
    </xf>
    <xf numFmtId="0" fontId="41" fillId="0" borderId="12" xfId="30" applyFont="1" applyBorder="1" applyAlignment="1">
      <alignment horizontal="center" vertical="center" wrapText="1"/>
    </xf>
    <xf numFmtId="0" fontId="41" fillId="0" borderId="24" xfId="30" applyFont="1" applyBorder="1" applyAlignment="1">
      <alignment horizontal="center" vertical="center" wrapText="1"/>
    </xf>
    <xf numFmtId="0" fontId="41" fillId="0" borderId="36" xfId="30" applyFont="1" applyBorder="1" applyAlignment="1">
      <alignment horizontal="center" vertical="center" wrapText="1"/>
    </xf>
    <xf numFmtId="0" fontId="41" fillId="0" borderId="37" xfId="30" applyFont="1" applyBorder="1" applyAlignment="1">
      <alignment horizontal="center" vertical="center" wrapText="1"/>
    </xf>
    <xf numFmtId="0" fontId="40" fillId="0" borderId="5" xfId="34" applyFont="1" applyBorder="1" applyAlignment="1">
      <alignment horizontal="center" wrapText="1"/>
    </xf>
    <xf numFmtId="0" fontId="40" fillId="0" borderId="6" xfId="34" applyFont="1" applyBorder="1" applyAlignment="1">
      <alignment horizontal="center" wrapText="1"/>
    </xf>
    <xf numFmtId="0" fontId="40" fillId="0" borderId="7" xfId="34" applyFont="1" applyBorder="1" applyAlignment="1">
      <alignment horizontal="center" wrapText="1"/>
    </xf>
    <xf numFmtId="0" fontId="6" fillId="0" borderId="5" xfId="30" applyBorder="1" applyAlignment="1">
      <alignment horizontal="center"/>
    </xf>
    <xf numFmtId="0" fontId="6" fillId="0" borderId="6" xfId="30" applyBorder="1" applyAlignment="1">
      <alignment horizontal="center"/>
    </xf>
    <xf numFmtId="0" fontId="6" fillId="0" borderId="7" xfId="30" applyBorder="1" applyAlignment="1">
      <alignment horizontal="center"/>
    </xf>
    <xf numFmtId="0" fontId="6" fillId="0" borderId="25" xfId="30" applyBorder="1" applyAlignment="1">
      <alignment horizontal="center"/>
    </xf>
    <xf numFmtId="0" fontId="6" fillId="0" borderId="26" xfId="30" applyBorder="1" applyAlignment="1">
      <alignment horizontal="center"/>
    </xf>
    <xf numFmtId="0" fontId="6" fillId="0" borderId="27" xfId="30" applyBorder="1" applyAlignment="1">
      <alignment horizontal="center"/>
    </xf>
    <xf numFmtId="0" fontId="6" fillId="0" borderId="28" xfId="30" applyBorder="1" applyAlignment="1">
      <alignment horizontal="center"/>
    </xf>
    <xf numFmtId="0" fontId="6" fillId="0" borderId="29" xfId="30" applyBorder="1" applyAlignment="1">
      <alignment horizontal="center"/>
    </xf>
    <xf numFmtId="0" fontId="6" fillId="0" borderId="30" xfId="30" applyBorder="1" applyAlignment="1">
      <alignment horizontal="center"/>
    </xf>
    <xf numFmtId="0" fontId="2" fillId="0" borderId="19" xfId="30" applyFont="1" applyBorder="1" applyAlignment="1">
      <alignment horizontal="center" vertical="center" wrapText="1"/>
    </xf>
    <xf numFmtId="0" fontId="6" fillId="0" borderId="57" xfId="30" applyBorder="1" applyAlignment="1">
      <alignment horizontal="center" vertical="center" wrapText="1"/>
    </xf>
    <xf numFmtId="0" fontId="2" fillId="0" borderId="23" xfId="30" applyFont="1" applyBorder="1" applyAlignment="1">
      <alignment horizontal="center" vertical="center" wrapText="1"/>
    </xf>
    <xf numFmtId="0" fontId="2" fillId="0" borderId="46" xfId="30" applyFont="1" applyBorder="1" applyAlignment="1">
      <alignment horizontal="center" vertical="center"/>
    </xf>
    <xf numFmtId="0" fontId="2" fillId="0" borderId="53" xfId="30" applyFont="1" applyBorder="1" applyAlignment="1">
      <alignment horizontal="center" vertical="center"/>
    </xf>
    <xf numFmtId="0" fontId="6" fillId="0" borderId="53" xfId="30" applyBorder="1" applyAlignment="1">
      <alignment horizontal="center" vertical="center" wrapText="1"/>
    </xf>
    <xf numFmtId="0" fontId="6" fillId="0" borderId="58" xfId="30" applyBorder="1" applyAlignment="1">
      <alignment horizontal="center" vertical="center" wrapText="1"/>
    </xf>
    <xf numFmtId="0" fontId="6" fillId="0" borderId="31" xfId="30" applyBorder="1" applyAlignment="1">
      <alignment horizontal="center" vertical="center" wrapText="1"/>
    </xf>
    <xf numFmtId="0" fontId="13" fillId="10" borderId="5" xfId="0" applyFont="1" applyFill="1" applyBorder="1" applyAlignment="1">
      <alignment horizontal="center" vertical="center"/>
    </xf>
    <xf numFmtId="0" fontId="13" fillId="10" borderId="6" xfId="0" applyFont="1" applyFill="1" applyBorder="1" applyAlignment="1">
      <alignment horizontal="center" vertical="center"/>
    </xf>
    <xf numFmtId="0" fontId="25" fillId="10" borderId="21" xfId="0" applyFont="1" applyFill="1" applyBorder="1" applyAlignment="1">
      <alignment horizontal="center"/>
    </xf>
    <xf numFmtId="0" fontId="25" fillId="10" borderId="22" xfId="0" applyFont="1" applyFill="1" applyBorder="1" applyAlignment="1">
      <alignment horizontal="center"/>
    </xf>
    <xf numFmtId="0" fontId="25" fillId="10" borderId="12" xfId="0" applyFont="1" applyFill="1" applyBorder="1" applyAlignment="1">
      <alignment horizontal="center"/>
    </xf>
  </cellXfs>
  <cellStyles count="35">
    <cellStyle name="Hiperlink" xfId="1" builtinId="8"/>
    <cellStyle name="Moeda 2" xfId="6" xr:uid="{00000000-0005-0000-0000-000001000000}"/>
    <cellStyle name="Moeda 3" xfId="7" xr:uid="{00000000-0005-0000-0000-000002000000}"/>
    <cellStyle name="Normal" xfId="0" builtinId="0"/>
    <cellStyle name="Normal 10" xfId="26" xr:uid="{00000000-0005-0000-0000-000004000000}"/>
    <cellStyle name="Normal 11" xfId="27" xr:uid="{00000000-0005-0000-0000-000005000000}"/>
    <cellStyle name="Normal 12" xfId="30" xr:uid="{00000000-0005-0000-0000-000006000000}"/>
    <cellStyle name="Normal 13" xfId="32" xr:uid="{00000000-0005-0000-0000-000007000000}"/>
    <cellStyle name="Normal 2" xfId="8" xr:uid="{00000000-0005-0000-0000-000008000000}"/>
    <cellStyle name="Normal 2 2" xfId="9" xr:uid="{00000000-0005-0000-0000-000009000000}"/>
    <cellStyle name="Normal 2 3" xfId="25" xr:uid="{00000000-0005-0000-0000-00000A000000}"/>
    <cellStyle name="Normal 24" xfId="34" xr:uid="{00000000-0005-0000-0000-00000B000000}"/>
    <cellStyle name="Normal 3" xfId="10" xr:uid="{00000000-0005-0000-0000-00000C000000}"/>
    <cellStyle name="Normal 4" xfId="11" xr:uid="{00000000-0005-0000-0000-00000D000000}"/>
    <cellStyle name="Normal 5" xfId="12" xr:uid="{00000000-0005-0000-0000-00000E000000}"/>
    <cellStyle name="Normal 6" xfId="4" xr:uid="{00000000-0005-0000-0000-00000F000000}"/>
    <cellStyle name="Normal 7" xfId="13" xr:uid="{00000000-0005-0000-0000-000010000000}"/>
    <cellStyle name="Normal 8" xfId="14" xr:uid="{00000000-0005-0000-0000-000011000000}"/>
    <cellStyle name="Normal 9" xfId="15" xr:uid="{00000000-0005-0000-0000-000012000000}"/>
    <cellStyle name="Porcentagem" xfId="2" builtinId="5"/>
    <cellStyle name="Porcentagem 2" xfId="16" xr:uid="{00000000-0005-0000-0000-000014000000}"/>
    <cellStyle name="Porcentagem 3" xfId="17" xr:uid="{00000000-0005-0000-0000-000015000000}"/>
    <cellStyle name="Separador de milhares 10" xfId="28" xr:uid="{00000000-0005-0000-0000-000016000000}"/>
    <cellStyle name="Separador de milhares 11" xfId="31" xr:uid="{00000000-0005-0000-0000-000017000000}"/>
    <cellStyle name="Separador de milhares 12" xfId="33" xr:uid="{00000000-0005-0000-0000-000018000000}"/>
    <cellStyle name="Separador de milhares 2" xfId="18" xr:uid="{00000000-0005-0000-0000-000019000000}"/>
    <cellStyle name="Separador de milhares 3" xfId="19" xr:uid="{00000000-0005-0000-0000-00001A000000}"/>
    <cellStyle name="Separador de milhares 4" xfId="20" xr:uid="{00000000-0005-0000-0000-00001B000000}"/>
    <cellStyle name="Separador de milhares 5" xfId="5" xr:uid="{00000000-0005-0000-0000-00001C000000}"/>
    <cellStyle name="Separador de milhares 6" xfId="21" xr:uid="{00000000-0005-0000-0000-00001D000000}"/>
    <cellStyle name="Separador de milhares 7" xfId="22" xr:uid="{00000000-0005-0000-0000-00001E000000}"/>
    <cellStyle name="Separador de milhares 8" xfId="23" xr:uid="{00000000-0005-0000-0000-00001F000000}"/>
    <cellStyle name="Separador de milhares 9" xfId="29" xr:uid="{00000000-0005-0000-0000-000020000000}"/>
    <cellStyle name="Vírgula" xfId="3" builtinId="3"/>
    <cellStyle name="Vírgula 2" xfId="24" xr:uid="{00000000-0005-0000-0000-000022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4</xdr:row>
      <xdr:rowOff>28575</xdr:rowOff>
    </xdr:from>
    <xdr:to>
      <xdr:col>0</xdr:col>
      <xdr:colOff>1419225</xdr:colOff>
      <xdr:row>6</xdr:row>
      <xdr:rowOff>66675</xdr:rowOff>
    </xdr:to>
    <xdr:pic>
      <xdr:nvPicPr>
        <xdr:cNvPr id="6506" name="Picture 2">
          <a:extLst>
            <a:ext uri="{FF2B5EF4-FFF2-40B4-BE49-F238E27FC236}">
              <a16:creationId xmlns:a16="http://schemas.microsoft.com/office/drawing/2014/main" id="{00000000-0008-0000-0900-00006A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19100"/>
          <a:ext cx="1285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7</xdr:row>
      <xdr:rowOff>9525</xdr:rowOff>
    </xdr:from>
    <xdr:to>
      <xdr:col>0</xdr:col>
      <xdr:colOff>2124075</xdr:colOff>
      <xdr:row>9</xdr:row>
      <xdr:rowOff>57150</xdr:rowOff>
    </xdr:to>
    <xdr:pic>
      <xdr:nvPicPr>
        <xdr:cNvPr id="6507" name="Picture 1">
          <a:extLst>
            <a:ext uri="{FF2B5EF4-FFF2-40B4-BE49-F238E27FC236}">
              <a16:creationId xmlns:a16="http://schemas.microsoft.com/office/drawing/2014/main" id="{00000000-0008-0000-0900-00006B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885825"/>
          <a:ext cx="20383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"/>
  <sheetViews>
    <sheetView tabSelected="1" workbookViewId="0">
      <selection activeCell="A14" sqref="A14"/>
    </sheetView>
  </sheetViews>
  <sheetFormatPr defaultRowHeight="12.75" x14ac:dyDescent="0.2"/>
  <cols>
    <col min="1" max="1" width="12.5703125" customWidth="1"/>
    <col min="2" max="2" width="29.7109375" customWidth="1"/>
    <col min="3" max="3" width="20" customWidth="1"/>
  </cols>
  <sheetData>
    <row r="1" spans="1:4" ht="18" x14ac:dyDescent="0.25">
      <c r="A1" s="356" t="s">
        <v>281</v>
      </c>
      <c r="B1" s="282"/>
      <c r="C1" s="282"/>
      <c r="D1" s="282"/>
    </row>
    <row r="2" spans="1:4" ht="15.75" x14ac:dyDescent="0.25">
      <c r="A2" s="403" t="s">
        <v>431</v>
      </c>
      <c r="B2" s="404"/>
      <c r="C2" s="404"/>
      <c r="D2" s="282"/>
    </row>
    <row r="3" spans="1:4" ht="15.75" x14ac:dyDescent="0.25">
      <c r="A3" s="405" t="s">
        <v>280</v>
      </c>
      <c r="B3" s="405" t="s">
        <v>432</v>
      </c>
      <c r="C3" s="405" t="s">
        <v>433</v>
      </c>
      <c r="D3" s="282"/>
    </row>
    <row r="4" spans="1:4" ht="15.75" x14ac:dyDescent="0.25">
      <c r="A4" s="406">
        <v>1</v>
      </c>
      <c r="B4" s="407" t="s">
        <v>510</v>
      </c>
      <c r="C4" s="408">
        <f>'1. Coleta Orgânica '!F270</f>
        <v>71246.154747679044</v>
      </c>
      <c r="D4" s="282"/>
    </row>
    <row r="5" spans="1:4" ht="15.75" x14ac:dyDescent="0.25">
      <c r="A5" s="406">
        <v>2</v>
      </c>
      <c r="B5" s="407" t="s">
        <v>463</v>
      </c>
      <c r="C5" s="408">
        <f>'2. Coleta Seletiva'!F270</f>
        <v>30885.959228715747</v>
      </c>
      <c r="D5" s="282"/>
    </row>
    <row r="6" spans="1:4" ht="15.75" x14ac:dyDescent="0.25">
      <c r="A6" s="406">
        <v>3</v>
      </c>
      <c r="B6" s="407" t="s">
        <v>454</v>
      </c>
      <c r="C6" s="408">
        <f>'3. Triagem'!F285</f>
        <v>60238.934740200995</v>
      </c>
      <c r="D6" s="282"/>
    </row>
    <row r="7" spans="1:4" ht="15.75" x14ac:dyDescent="0.25">
      <c r="A7" s="406"/>
      <c r="B7" s="409"/>
      <c r="C7" s="408"/>
      <c r="D7" s="282"/>
    </row>
    <row r="8" spans="1:4" ht="15.75" x14ac:dyDescent="0.25">
      <c r="A8" s="410" t="s">
        <v>434</v>
      </c>
      <c r="B8" s="410"/>
      <c r="C8" s="411">
        <f>SUM(C4:C7)</f>
        <v>162371.04871659577</v>
      </c>
      <c r="D8" s="357"/>
    </row>
    <row r="11" spans="1:4" ht="15.75" x14ac:dyDescent="0.25">
      <c r="A11" s="401" t="s">
        <v>511</v>
      </c>
      <c r="C11" s="358"/>
    </row>
    <row r="12" spans="1:4" ht="15" x14ac:dyDescent="0.2">
      <c r="A12" s="402"/>
    </row>
    <row r="13" spans="1:4" ht="15" x14ac:dyDescent="0.2">
      <c r="A13" s="402"/>
      <c r="C13" s="359"/>
    </row>
    <row r="14" spans="1:4" ht="15" x14ac:dyDescent="0.2">
      <c r="A14" s="402"/>
    </row>
    <row r="15" spans="1:4" ht="15" x14ac:dyDescent="0.2">
      <c r="A15" s="402"/>
      <c r="C15" s="359"/>
    </row>
    <row r="16" spans="1:4" ht="15" x14ac:dyDescent="0.2">
      <c r="A16" s="402"/>
      <c r="C16" s="359"/>
    </row>
    <row r="17" spans="1:1" ht="15" x14ac:dyDescent="0.2">
      <c r="A17" s="402"/>
    </row>
    <row r="18" spans="1:1" ht="15.75" x14ac:dyDescent="0.25">
      <c r="A18" s="401" t="s">
        <v>512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17"/>
  <sheetViews>
    <sheetView workbookViewId="0">
      <selection activeCell="A14" sqref="A14"/>
    </sheetView>
  </sheetViews>
  <sheetFormatPr defaultColWidth="9.140625" defaultRowHeight="19.5" customHeight="1" x14ac:dyDescent="0.2"/>
  <cols>
    <col min="1" max="1" width="24.5703125" style="1" customWidth="1"/>
    <col min="2" max="2" width="20.85546875" style="1" customWidth="1"/>
    <col min="3" max="16384" width="9.140625" style="1"/>
  </cols>
  <sheetData>
    <row r="1" spans="1:2" ht="19.5" customHeight="1" thickBot="1" x14ac:dyDescent="0.25">
      <c r="A1" s="506" t="s">
        <v>453</v>
      </c>
      <c r="B1" s="507"/>
    </row>
    <row r="2" spans="1:2" s="99" customFormat="1" ht="19.5" customHeight="1" x14ac:dyDescent="0.2">
      <c r="A2" s="225" t="s">
        <v>186</v>
      </c>
      <c r="B2" s="226" t="s">
        <v>254</v>
      </c>
    </row>
    <row r="3" spans="1:2" ht="19.5" customHeight="1" x14ac:dyDescent="0.2">
      <c r="A3" s="142">
        <v>1</v>
      </c>
      <c r="B3" s="141">
        <v>33.629999999999995</v>
      </c>
    </row>
    <row r="4" spans="1:2" ht="19.5" customHeight="1" x14ac:dyDescent="0.2">
      <c r="A4" s="142">
        <v>2</v>
      </c>
      <c r="B4" s="141">
        <v>43.13</v>
      </c>
    </row>
    <row r="5" spans="1:2" ht="19.5" customHeight="1" x14ac:dyDescent="0.2">
      <c r="A5" s="142">
        <v>3</v>
      </c>
      <c r="B5" s="141">
        <v>48.68</v>
      </c>
    </row>
    <row r="6" spans="1:2" ht="19.5" customHeight="1" x14ac:dyDescent="0.2">
      <c r="A6" s="142">
        <v>4</v>
      </c>
      <c r="B6" s="141">
        <v>52.62</v>
      </c>
    </row>
    <row r="7" spans="1:2" ht="19.5" customHeight="1" x14ac:dyDescent="0.2">
      <c r="A7" s="142">
        <v>5</v>
      </c>
      <c r="B7" s="141">
        <v>55.679999999999993</v>
      </c>
    </row>
    <row r="8" spans="1:2" ht="19.5" customHeight="1" x14ac:dyDescent="0.2">
      <c r="A8" s="142">
        <v>6</v>
      </c>
      <c r="B8" s="141">
        <v>58.18</v>
      </c>
    </row>
    <row r="9" spans="1:2" ht="19.5" customHeight="1" x14ac:dyDescent="0.2">
      <c r="A9" s="142">
        <v>7</v>
      </c>
      <c r="B9" s="141">
        <v>60.29</v>
      </c>
    </row>
    <row r="10" spans="1:2" ht="19.5" customHeight="1" x14ac:dyDescent="0.2">
      <c r="A10" s="142">
        <v>8</v>
      </c>
      <c r="B10" s="141">
        <v>62.12</v>
      </c>
    </row>
    <row r="11" spans="1:2" ht="19.5" customHeight="1" x14ac:dyDescent="0.2">
      <c r="A11" s="142">
        <v>9</v>
      </c>
      <c r="B11" s="141">
        <v>63.73</v>
      </c>
    </row>
    <row r="12" spans="1:2" ht="19.5" customHeight="1" x14ac:dyDescent="0.2">
      <c r="A12" s="142">
        <v>10</v>
      </c>
      <c r="B12" s="141">
        <v>65.180000000000007</v>
      </c>
    </row>
    <row r="13" spans="1:2" ht="19.5" customHeight="1" x14ac:dyDescent="0.2">
      <c r="A13" s="142">
        <v>11</v>
      </c>
      <c r="B13" s="141">
        <v>66.47999999999999</v>
      </c>
    </row>
    <row r="14" spans="1:2" ht="19.5" customHeight="1" x14ac:dyDescent="0.2">
      <c r="A14" s="142">
        <v>12</v>
      </c>
      <c r="B14" s="141">
        <v>67.67</v>
      </c>
    </row>
    <row r="15" spans="1:2" ht="19.5" customHeight="1" x14ac:dyDescent="0.2">
      <c r="A15" s="142">
        <v>13</v>
      </c>
      <c r="B15" s="141">
        <v>68.77</v>
      </c>
    </row>
    <row r="16" spans="1:2" ht="19.5" customHeight="1" x14ac:dyDescent="0.2">
      <c r="A16" s="142">
        <v>14</v>
      </c>
      <c r="B16" s="141">
        <v>69.789999999999992</v>
      </c>
    </row>
    <row r="17" spans="1:2" ht="19.5" customHeight="1" thickBot="1" x14ac:dyDescent="0.25">
      <c r="A17" s="143">
        <v>15</v>
      </c>
      <c r="B17" s="144">
        <v>70.73</v>
      </c>
    </row>
  </sheetData>
  <mergeCells count="1">
    <mergeCell ref="A1:B1"/>
  </mergeCells>
  <pageMargins left="0.90551181102362199" right="0.5118110236220472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17"/>
  <sheetViews>
    <sheetView workbookViewId="0">
      <selection activeCell="A14" sqref="A14"/>
    </sheetView>
  </sheetViews>
  <sheetFormatPr defaultColWidth="9.140625" defaultRowHeight="12.75" x14ac:dyDescent="0.2"/>
  <cols>
    <col min="1" max="1" width="70.42578125" style="1" customWidth="1"/>
    <col min="2" max="3" width="9.140625" style="1"/>
    <col min="4" max="4" width="12.85546875" style="1" bestFit="1" customWidth="1"/>
    <col min="5" max="16384" width="9.140625" style="1"/>
  </cols>
  <sheetData>
    <row r="1" spans="1:1" ht="18" x14ac:dyDescent="0.25">
      <c r="A1" s="209" t="s">
        <v>452</v>
      </c>
    </row>
    <row r="2" spans="1:1" x14ac:dyDescent="0.2">
      <c r="A2" s="206"/>
    </row>
    <row r="3" spans="1:1" x14ac:dyDescent="0.2">
      <c r="A3" s="206" t="s">
        <v>219</v>
      </c>
    </row>
    <row r="4" spans="1:1" x14ac:dyDescent="0.2">
      <c r="A4" s="206"/>
    </row>
    <row r="5" spans="1:1" x14ac:dyDescent="0.2">
      <c r="A5" s="206"/>
    </row>
    <row r="6" spans="1:1" x14ac:dyDescent="0.2">
      <c r="A6" s="206"/>
    </row>
    <row r="7" spans="1:1" x14ac:dyDescent="0.2">
      <c r="A7" s="206"/>
    </row>
    <row r="8" spans="1:1" x14ac:dyDescent="0.2">
      <c r="A8" s="206"/>
    </row>
    <row r="9" spans="1:1" x14ac:dyDescent="0.2">
      <c r="A9" s="206"/>
    </row>
    <row r="10" spans="1:1" x14ac:dyDescent="0.2">
      <c r="A10" s="206"/>
    </row>
    <row r="11" spans="1:1" x14ac:dyDescent="0.2">
      <c r="A11" s="206"/>
    </row>
    <row r="12" spans="1:1" ht="19.5" x14ac:dyDescent="0.35">
      <c r="A12" s="207" t="s">
        <v>207</v>
      </c>
    </row>
    <row r="13" spans="1:1" ht="15" x14ac:dyDescent="0.2">
      <c r="A13" s="207" t="s">
        <v>107</v>
      </c>
    </row>
    <row r="14" spans="1:1" ht="15" x14ac:dyDescent="0.2">
      <c r="A14" s="207" t="s">
        <v>112</v>
      </c>
    </row>
    <row r="15" spans="1:1" ht="19.5" x14ac:dyDescent="0.35">
      <c r="A15" s="207" t="s">
        <v>208</v>
      </c>
    </row>
    <row r="16" spans="1:1" ht="19.5" x14ac:dyDescent="0.35">
      <c r="A16" s="207" t="s">
        <v>209</v>
      </c>
    </row>
    <row r="17" spans="1:1" ht="15.75" thickBot="1" x14ac:dyDescent="0.25">
      <c r="A17" s="208" t="s">
        <v>108</v>
      </c>
    </row>
  </sheetData>
  <pageMargins left="0.90551181102362199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5"/>
  <sheetViews>
    <sheetView topLeftCell="A10" workbookViewId="0">
      <selection activeCell="A14" sqref="A14"/>
    </sheetView>
  </sheetViews>
  <sheetFormatPr defaultColWidth="9.140625" defaultRowHeight="12.75" x14ac:dyDescent="0.2"/>
  <cols>
    <col min="1" max="1" width="58.28515625" style="235" customWidth="1"/>
    <col min="2" max="2" width="11.140625" style="235" bestFit="1" customWidth="1"/>
    <col min="3" max="3" width="11.28515625" style="235" bestFit="1" customWidth="1"/>
    <col min="4" max="16384" width="9.140625" style="235"/>
  </cols>
  <sheetData>
    <row r="1" spans="1:7" hidden="1" x14ac:dyDescent="0.2">
      <c r="A1" s="9" t="s">
        <v>183</v>
      </c>
    </row>
    <row r="2" spans="1:7" hidden="1" x14ac:dyDescent="0.2">
      <c r="A2" s="240" t="s">
        <v>230</v>
      </c>
    </row>
    <row r="3" spans="1:7" hidden="1" x14ac:dyDescent="0.2">
      <c r="A3" s="240" t="s">
        <v>255</v>
      </c>
    </row>
    <row r="4" spans="1:7" hidden="1" x14ac:dyDescent="0.2">
      <c r="A4" s="5" t="s">
        <v>253</v>
      </c>
    </row>
    <row r="5" spans="1:7" hidden="1" x14ac:dyDescent="0.2">
      <c r="A5" s="5"/>
    </row>
    <row r="6" spans="1:7" s="2" customFormat="1" ht="15.6" hidden="1" customHeight="1" x14ac:dyDescent="0.2">
      <c r="A6" s="256" t="s">
        <v>264</v>
      </c>
      <c r="B6" s="3"/>
      <c r="C6" s="3"/>
      <c r="D6" s="3"/>
      <c r="E6" s="3"/>
      <c r="F6" s="3"/>
      <c r="G6" s="4"/>
    </row>
    <row r="7" spans="1:7" s="2" customFormat="1" ht="16.5" hidden="1" customHeight="1" x14ac:dyDescent="0.2">
      <c r="A7" s="301" t="s">
        <v>265</v>
      </c>
      <c r="B7" s="3"/>
      <c r="C7" s="3"/>
      <c r="D7" s="4"/>
      <c r="E7" s="4"/>
      <c r="F7" s="4"/>
      <c r="G7" s="4"/>
    </row>
    <row r="8" spans="1:7" s="2" customFormat="1" ht="16.5" hidden="1" customHeight="1" x14ac:dyDescent="0.2">
      <c r="A8" s="301" t="s">
        <v>266</v>
      </c>
      <c r="B8" s="3"/>
      <c r="C8" s="3"/>
      <c r="D8" s="4"/>
      <c r="E8" s="4"/>
      <c r="F8" s="4"/>
      <c r="G8" s="4"/>
    </row>
    <row r="9" spans="1:7" ht="13.5" hidden="1" thickBot="1" x14ac:dyDescent="0.25"/>
    <row r="10" spans="1:7" ht="18" x14ac:dyDescent="0.25">
      <c r="A10" s="508" t="s">
        <v>451</v>
      </c>
      <c r="B10" s="509"/>
      <c r="C10" s="510"/>
    </row>
    <row r="11" spans="1:7" ht="18" x14ac:dyDescent="0.25">
      <c r="A11" s="252"/>
      <c r="B11" s="251"/>
      <c r="C11" s="253"/>
    </row>
    <row r="12" spans="1:7" s="99" customFormat="1" ht="15" x14ac:dyDescent="0.25">
      <c r="A12" s="241" t="s">
        <v>250</v>
      </c>
      <c r="B12" s="242" t="s">
        <v>231</v>
      </c>
      <c r="C12" s="243" t="s">
        <v>124</v>
      </c>
    </row>
    <row r="13" spans="1:7" ht="14.25" x14ac:dyDescent="0.2">
      <c r="A13" s="172" t="s">
        <v>239</v>
      </c>
      <c r="B13" s="244" t="s">
        <v>232</v>
      </c>
      <c r="C13" s="173">
        <v>20088</v>
      </c>
    </row>
    <row r="14" spans="1:7" ht="14.25" x14ac:dyDescent="0.2">
      <c r="A14" s="172" t="s">
        <v>240</v>
      </c>
      <c r="B14" s="244" t="s">
        <v>237</v>
      </c>
      <c r="C14" s="368">
        <v>0.44034000000000001</v>
      </c>
    </row>
    <row r="15" spans="1:7" ht="14.25" x14ac:dyDescent="0.2">
      <c r="A15" s="172" t="s">
        <v>241</v>
      </c>
      <c r="B15" s="244" t="s">
        <v>238</v>
      </c>
      <c r="C15" s="245">
        <f>C13*C14/1000</f>
        <v>8.8455499199999998</v>
      </c>
    </row>
    <row r="16" spans="1:7" ht="14.25" x14ac:dyDescent="0.2">
      <c r="A16" s="172" t="s">
        <v>247</v>
      </c>
      <c r="B16" s="244" t="s">
        <v>233</v>
      </c>
      <c r="C16" s="246">
        <f>(C15*30)</f>
        <v>265.3664976</v>
      </c>
    </row>
    <row r="17" spans="1:3" ht="14.25" x14ac:dyDescent="0.2">
      <c r="A17" s="172" t="s">
        <v>243</v>
      </c>
      <c r="B17" s="244" t="s">
        <v>92</v>
      </c>
      <c r="C17" s="249">
        <v>6</v>
      </c>
    </row>
    <row r="18" spans="1:3" ht="14.25" x14ac:dyDescent="0.2">
      <c r="A18" s="172" t="s">
        <v>242</v>
      </c>
      <c r="B18" s="244" t="s">
        <v>238</v>
      </c>
      <c r="C18" s="245">
        <f>IFERROR(C15*7/C17,0)</f>
        <v>10.31980824</v>
      </c>
    </row>
    <row r="19" spans="1:3" ht="14.25" x14ac:dyDescent="0.2">
      <c r="A19" s="172" t="s">
        <v>234</v>
      </c>
      <c r="B19" s="244" t="s">
        <v>235</v>
      </c>
      <c r="C19" s="188">
        <v>500</v>
      </c>
    </row>
    <row r="20" spans="1:3" ht="14.25" x14ac:dyDescent="0.2">
      <c r="A20" s="172" t="s">
        <v>248</v>
      </c>
      <c r="B20" s="244"/>
      <c r="C20" s="173">
        <v>1</v>
      </c>
    </row>
    <row r="21" spans="1:3" ht="14.25" x14ac:dyDescent="0.2">
      <c r="A21" s="172" t="s">
        <v>249</v>
      </c>
      <c r="B21" s="244" t="s">
        <v>236</v>
      </c>
      <c r="C21" s="173">
        <v>12</v>
      </c>
    </row>
    <row r="22" spans="1:3" ht="14.25" x14ac:dyDescent="0.2">
      <c r="A22" s="172" t="s">
        <v>244</v>
      </c>
      <c r="B22" s="244" t="s">
        <v>233</v>
      </c>
      <c r="C22" s="188">
        <v>4</v>
      </c>
    </row>
    <row r="23" spans="1:3" ht="14.25" x14ac:dyDescent="0.2">
      <c r="A23" s="172" t="s">
        <v>245</v>
      </c>
      <c r="B23" s="244"/>
      <c r="C23" s="245">
        <f>IFERROR(C18/C22,0)</f>
        <v>2.5799520600000001</v>
      </c>
    </row>
    <row r="24" spans="1:3" ht="14.25" x14ac:dyDescent="0.2">
      <c r="A24" s="172" t="s">
        <v>251</v>
      </c>
      <c r="B24" s="244"/>
      <c r="C24" s="369">
        <v>1</v>
      </c>
    </row>
    <row r="25" spans="1:3" ht="15" thickBot="1" x14ac:dyDescent="0.25">
      <c r="A25" s="247" t="s">
        <v>246</v>
      </c>
      <c r="B25" s="248"/>
      <c r="C25" s="250">
        <f>IFERROR(C23/C24,0)</f>
        <v>2.5799520600000001</v>
      </c>
    </row>
    <row r="26" spans="1:3" ht="14.25" x14ac:dyDescent="0.2">
      <c r="A26" s="133"/>
      <c r="B26" s="133"/>
      <c r="C26" s="258"/>
    </row>
    <row r="27" spans="1:3" ht="14.25" x14ac:dyDescent="0.2">
      <c r="A27" s="133" t="s">
        <v>269</v>
      </c>
    </row>
    <row r="28" spans="1:3" x14ac:dyDescent="0.2">
      <c r="A28" s="235" t="s">
        <v>270</v>
      </c>
    </row>
    <row r="29" spans="1:3" x14ac:dyDescent="0.2">
      <c r="A29" s="235" t="s">
        <v>271</v>
      </c>
    </row>
    <row r="30" spans="1:3" x14ac:dyDescent="0.2">
      <c r="A30" s="235" t="s">
        <v>267</v>
      </c>
    </row>
    <row r="31" spans="1:3" x14ac:dyDescent="0.2">
      <c r="A31" s="235" t="s">
        <v>272</v>
      </c>
    </row>
    <row r="32" spans="1:3" x14ac:dyDescent="0.2">
      <c r="A32" s="235" t="s">
        <v>273</v>
      </c>
    </row>
    <row r="33" spans="1:1" x14ac:dyDescent="0.2">
      <c r="A33" s="235" t="s">
        <v>274</v>
      </c>
    </row>
    <row r="34" spans="1:1" x14ac:dyDescent="0.2">
      <c r="A34" s="235" t="s">
        <v>275</v>
      </c>
    </row>
    <row r="35" spans="1:1" x14ac:dyDescent="0.2">
      <c r="A35" s="235" t="s">
        <v>268</v>
      </c>
    </row>
  </sheetData>
  <mergeCells count="1">
    <mergeCell ref="A10:C10"/>
  </mergeCells>
  <conditionalFormatting sqref="C22">
    <cfRule type="expression" dxfId="0" priority="1">
      <formula>"SE(E(C20&gt;=15;C19=1))"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09"/>
  <sheetViews>
    <sheetView topLeftCell="A68" zoomScale="130" zoomScaleNormal="130" zoomScaleSheetLayoutView="120" workbookViewId="0">
      <selection activeCell="A14" sqref="A14"/>
    </sheetView>
  </sheetViews>
  <sheetFormatPr defaultColWidth="9.140625" defaultRowHeight="12.75" x14ac:dyDescent="0.2"/>
  <cols>
    <col min="1" max="1" width="44.5703125" style="7" customWidth="1"/>
    <col min="2" max="2" width="16" style="7" bestFit="1" customWidth="1"/>
    <col min="3" max="3" width="13.42578125" style="7" customWidth="1"/>
    <col min="4" max="4" width="14.7109375" style="8" customWidth="1"/>
    <col min="5" max="5" width="15.42578125" style="8" customWidth="1"/>
    <col min="6" max="6" width="13.28515625" style="8" customWidth="1"/>
    <col min="7" max="7" width="28.140625" style="8" customWidth="1"/>
    <col min="8" max="8" width="9.140625" style="7"/>
    <col min="9" max="9" width="14.5703125" style="7" customWidth="1"/>
    <col min="10" max="10" width="13.42578125" style="7" customWidth="1"/>
    <col min="11" max="16384" width="9.140625" style="7"/>
  </cols>
  <sheetData>
    <row r="1" spans="1:7" ht="15.75" hidden="1" x14ac:dyDescent="0.2">
      <c r="A1" s="51" t="s">
        <v>183</v>
      </c>
      <c r="G1" s="309"/>
    </row>
    <row r="2" spans="1:7" ht="15.75" hidden="1" x14ac:dyDescent="0.2">
      <c r="A2" s="301" t="s">
        <v>256</v>
      </c>
    </row>
    <row r="3" spans="1:7" ht="15.75" hidden="1" x14ac:dyDescent="0.2">
      <c r="A3" s="301" t="s">
        <v>257</v>
      </c>
    </row>
    <row r="4" spans="1:7" ht="15.75" hidden="1" x14ac:dyDescent="0.2">
      <c r="A4" s="301" t="s">
        <v>259</v>
      </c>
    </row>
    <row r="5" spans="1:7" s="2" customFormat="1" ht="15.6" hidden="1" customHeight="1" x14ac:dyDescent="0.2">
      <c r="A5" s="51" t="s">
        <v>253</v>
      </c>
      <c r="C5" s="3"/>
      <c r="D5" s="3"/>
      <c r="E5" s="3"/>
      <c r="F5" s="3"/>
      <c r="G5" s="4"/>
    </row>
    <row r="6" spans="1:7" s="2" customFormat="1" ht="15.6" hidden="1" customHeight="1" x14ac:dyDescent="0.2">
      <c r="A6" s="255" t="s">
        <v>258</v>
      </c>
      <c r="B6" s="3"/>
      <c r="C6" s="3"/>
      <c r="D6" s="3"/>
      <c r="E6" s="3"/>
      <c r="F6" s="3"/>
      <c r="G6" s="4"/>
    </row>
    <row r="7" spans="1:7" s="2" customFormat="1" ht="15.6" hidden="1" customHeight="1" x14ac:dyDescent="0.2">
      <c r="A7" s="5"/>
      <c r="B7" s="3"/>
      <c r="C7" s="3"/>
      <c r="D7" s="3"/>
      <c r="E7" s="3"/>
      <c r="F7" s="3"/>
      <c r="G7" s="4"/>
    </row>
    <row r="8" spans="1:7" s="2" customFormat="1" ht="15.6" hidden="1" customHeight="1" x14ac:dyDescent="0.2">
      <c r="A8" s="256" t="s">
        <v>264</v>
      </c>
      <c r="B8" s="3"/>
      <c r="C8" s="3"/>
      <c r="D8" s="3"/>
      <c r="E8" s="3"/>
      <c r="F8" s="3"/>
      <c r="G8" s="4"/>
    </row>
    <row r="9" spans="1:7" s="2" customFormat="1" ht="15.6" hidden="1" customHeight="1" x14ac:dyDescent="0.2">
      <c r="A9" s="301" t="s">
        <v>261</v>
      </c>
      <c r="B9" s="3"/>
      <c r="C9" s="3"/>
      <c r="D9" s="3"/>
      <c r="E9" s="3"/>
      <c r="F9" s="3"/>
      <c r="G9" s="4"/>
    </row>
    <row r="10" spans="1:7" s="2" customFormat="1" ht="16.5" hidden="1" customHeight="1" x14ac:dyDescent="0.2">
      <c r="A10" s="5"/>
      <c r="B10" s="3"/>
      <c r="C10" s="3"/>
      <c r="D10" s="4"/>
      <c r="E10" s="4"/>
      <c r="F10" s="4"/>
      <c r="G10" s="4"/>
    </row>
    <row r="11" spans="1:7" s="2" customFormat="1" ht="16.5" customHeight="1" thickBot="1" x14ac:dyDescent="0.25">
      <c r="A11" s="136" t="s">
        <v>281</v>
      </c>
      <c r="B11" s="3"/>
      <c r="C11" s="3"/>
      <c r="D11" s="4"/>
      <c r="E11" s="4"/>
      <c r="F11" s="4"/>
      <c r="G11" s="4"/>
    </row>
    <row r="12" spans="1:7" s="6" customFormat="1" ht="18" x14ac:dyDescent="0.2">
      <c r="A12" s="414" t="s">
        <v>459</v>
      </c>
      <c r="B12" s="415"/>
      <c r="C12" s="415"/>
      <c r="D12" s="415"/>
      <c r="E12" s="415"/>
      <c r="F12" s="416"/>
      <c r="G12" s="33"/>
    </row>
    <row r="13" spans="1:7" s="6" customFormat="1" ht="21.75" customHeight="1" x14ac:dyDescent="0.2">
      <c r="A13" s="417" t="s">
        <v>44</v>
      </c>
      <c r="B13" s="418"/>
      <c r="C13" s="418"/>
      <c r="D13" s="418"/>
      <c r="E13" s="418"/>
      <c r="F13" s="419"/>
      <c r="G13" s="33"/>
    </row>
    <row r="14" spans="1:7" s="2" customFormat="1" ht="10.9" customHeight="1" thickBot="1" x14ac:dyDescent="0.25">
      <c r="A14" s="137"/>
      <c r="B14" s="3"/>
      <c r="C14" s="3"/>
      <c r="D14" s="138"/>
      <c r="E14" s="138"/>
      <c r="F14" s="139"/>
      <c r="G14" s="4"/>
    </row>
    <row r="15" spans="1:7" s="2" customFormat="1" ht="15.75" customHeight="1" thickBot="1" x14ac:dyDescent="0.25">
      <c r="A15" s="420" t="s">
        <v>182</v>
      </c>
      <c r="B15" s="421"/>
      <c r="C15" s="421"/>
      <c r="D15" s="421"/>
      <c r="E15" s="421"/>
      <c r="F15" s="422"/>
      <c r="G15" s="4"/>
    </row>
    <row r="16" spans="1:7" s="2" customFormat="1" ht="15.75" customHeight="1" x14ac:dyDescent="0.2">
      <c r="A16" s="58" t="s">
        <v>181</v>
      </c>
      <c r="B16" s="37"/>
      <c r="C16" s="37"/>
      <c r="D16" s="220"/>
      <c r="E16" s="107" t="s">
        <v>39</v>
      </c>
      <c r="F16" s="38" t="s">
        <v>2</v>
      </c>
      <c r="G16" s="4"/>
    </row>
    <row r="17" spans="1:7" s="9" customFormat="1" ht="17.25" customHeight="1" x14ac:dyDescent="0.2">
      <c r="A17" s="116" t="str">
        <f>A52</f>
        <v>1. Mão-de-obra</v>
      </c>
      <c r="B17" s="117"/>
      <c r="C17" s="118"/>
      <c r="D17" s="118"/>
      <c r="E17" s="217">
        <f>+F127</f>
        <v>34049.295330290741</v>
      </c>
      <c r="F17" s="119">
        <f t="shared" ref="F17:F36" si="0">IFERROR(E17/$E$37,0)</f>
        <v>0.47791063883907292</v>
      </c>
      <c r="G17" s="41"/>
    </row>
    <row r="18" spans="1:7" s="2" customFormat="1" ht="17.25" customHeight="1" x14ac:dyDescent="0.2">
      <c r="A18" s="46" t="str">
        <f>A53</f>
        <v>1.1. Coletor Turno Dia</v>
      </c>
      <c r="B18" s="42"/>
      <c r="C18" s="44"/>
      <c r="D18" s="44"/>
      <c r="E18" s="218">
        <f>F64</f>
        <v>18561.046572399606</v>
      </c>
      <c r="F18" s="52">
        <f t="shared" si="0"/>
        <v>0.26051997666588822</v>
      </c>
      <c r="G18" s="4"/>
    </row>
    <row r="19" spans="1:7" s="2" customFormat="1" ht="17.25" customHeight="1" x14ac:dyDescent="0.2">
      <c r="A19" s="46" t="str">
        <f>A66</f>
        <v>1.2. Supervisor/Encarregado</v>
      </c>
      <c r="B19" s="42"/>
      <c r="C19" s="44"/>
      <c r="D19" s="44"/>
      <c r="E19" s="218">
        <f>F83</f>
        <v>1950.9469055999998</v>
      </c>
      <c r="F19" s="52">
        <f t="shared" si="0"/>
        <v>2.7383188784143541E-2</v>
      </c>
      <c r="G19" s="4"/>
    </row>
    <row r="20" spans="1:7" s="2" customFormat="1" ht="17.25" customHeight="1" x14ac:dyDescent="0.2">
      <c r="A20" s="46" t="str">
        <f>A85</f>
        <v>1.3. Motorista Turno do Dia</v>
      </c>
      <c r="B20" s="42"/>
      <c r="C20" s="44"/>
      <c r="D20" s="44"/>
      <c r="E20" s="218">
        <f>F98</f>
        <v>9486.4130052101809</v>
      </c>
      <c r="F20" s="52">
        <f t="shared" si="0"/>
        <v>0.13314982455974883</v>
      </c>
      <c r="G20" s="4"/>
    </row>
    <row r="21" spans="1:7" s="2" customFormat="1" ht="17.25" customHeight="1" x14ac:dyDescent="0.2">
      <c r="A21" s="46" t="str">
        <f>A100</f>
        <v>1.4. Vale Transporte</v>
      </c>
      <c r="B21" s="42"/>
      <c r="C21" s="44"/>
      <c r="D21" s="44"/>
      <c r="E21" s="218">
        <f>F106</f>
        <v>858.10884923076924</v>
      </c>
      <c r="F21" s="52">
        <f t="shared" si="0"/>
        <v>1.2044282982987563E-2</v>
      </c>
      <c r="G21" s="4"/>
    </row>
    <row r="22" spans="1:7" s="2" customFormat="1" ht="17.25" customHeight="1" x14ac:dyDescent="0.2">
      <c r="A22" s="46" t="str">
        <f>A108</f>
        <v>1.5. Vale-refeição (diário)</v>
      </c>
      <c r="B22" s="42"/>
      <c r="C22" s="44"/>
      <c r="D22" s="44"/>
      <c r="E22" s="218">
        <f>F113</f>
        <v>2719.8200000000006</v>
      </c>
      <c r="F22" s="52">
        <f t="shared" si="0"/>
        <v>3.8174972524936207E-2</v>
      </c>
      <c r="G22" s="4"/>
    </row>
    <row r="23" spans="1:7" s="2" customFormat="1" ht="17.25" customHeight="1" x14ac:dyDescent="0.2">
      <c r="A23" s="46" t="str">
        <f>A115</f>
        <v>1.6. Auxílio Alimentação e Abono Indenizatório (mensal)</v>
      </c>
      <c r="B23" s="42"/>
      <c r="C23" s="44"/>
      <c r="D23" s="44"/>
      <c r="E23" s="218">
        <f>F119</f>
        <v>376.5599982883636</v>
      </c>
      <c r="F23" s="52">
        <f t="shared" si="0"/>
        <v>5.2853378490665933E-3</v>
      </c>
      <c r="G23" s="4"/>
    </row>
    <row r="24" spans="1:7" s="2" customFormat="1" ht="17.25" customHeight="1" x14ac:dyDescent="0.2">
      <c r="A24" s="46" t="str">
        <f>A121</f>
        <v xml:space="preserve">1.7 Plano de Benefício Social  </v>
      </c>
      <c r="B24" s="42"/>
      <c r="C24" s="44"/>
      <c r="D24" s="44"/>
      <c r="E24" s="218">
        <f>F125</f>
        <v>96.399999561818191</v>
      </c>
      <c r="F24" s="52">
        <f t="shared" si="0"/>
        <v>1.3530554723019431E-3</v>
      </c>
      <c r="G24" s="4"/>
    </row>
    <row r="25" spans="1:7" s="9" customFormat="1" ht="17.25" customHeight="1" x14ac:dyDescent="0.2">
      <c r="A25" s="423" t="str">
        <f>A129</f>
        <v>2. Uniformes e Equipamentos de Proteção Individual</v>
      </c>
      <c r="B25" s="424"/>
      <c r="C25" s="424"/>
      <c r="D25" s="118"/>
      <c r="E25" s="217">
        <f>+F160</f>
        <v>806.93332966545449</v>
      </c>
      <c r="F25" s="119">
        <f t="shared" si="0"/>
        <v>1.1325991311716955E-2</v>
      </c>
      <c r="G25" s="41"/>
    </row>
    <row r="26" spans="1:7" s="9" customFormat="1" ht="17.25" customHeight="1" x14ac:dyDescent="0.2">
      <c r="A26" s="310" t="str">
        <f>A162</f>
        <v>3. Veículos e Equipamentos</v>
      </c>
      <c r="B26" s="127"/>
      <c r="C26" s="118"/>
      <c r="D26" s="118"/>
      <c r="E26" s="217">
        <f>+F237</f>
        <v>20424.117533137331</v>
      </c>
      <c r="F26" s="119">
        <f t="shared" si="0"/>
        <v>0.28666975229007258</v>
      </c>
      <c r="G26" s="41"/>
    </row>
    <row r="27" spans="1:7" s="2" customFormat="1" ht="17.25" customHeight="1" x14ac:dyDescent="0.2">
      <c r="A27" s="59" t="str">
        <f>A163</f>
        <v xml:space="preserve">3.1. Veículo Coletor </v>
      </c>
      <c r="B27" s="43"/>
      <c r="C27" s="44"/>
      <c r="D27" s="44"/>
      <c r="E27" s="218">
        <f>SUM(E28:E33)</f>
        <v>20424.117533137331</v>
      </c>
      <c r="F27" s="132">
        <f t="shared" si="0"/>
        <v>0.28666975229007258</v>
      </c>
      <c r="G27" s="4"/>
    </row>
    <row r="28" spans="1:7" s="2" customFormat="1" ht="17.25" customHeight="1" x14ac:dyDescent="0.2">
      <c r="A28" s="59" t="str">
        <f>A164</f>
        <v>3.1.1. Depreciação</v>
      </c>
      <c r="B28" s="43"/>
      <c r="C28" s="44"/>
      <c r="D28" s="44"/>
      <c r="E28" s="218">
        <f>F179</f>
        <v>4660.3699788165004</v>
      </c>
      <c r="F28" s="132">
        <f t="shared" si="0"/>
        <v>6.5412231654064387E-2</v>
      </c>
      <c r="G28" s="4"/>
    </row>
    <row r="29" spans="1:7" s="2" customFormat="1" ht="17.25" customHeight="1" x14ac:dyDescent="0.2">
      <c r="A29" s="59" t="str">
        <f>A181</f>
        <v>3.1.2. Remuneração do Capital</v>
      </c>
      <c r="B29" s="43"/>
      <c r="C29" s="44"/>
      <c r="D29" s="44"/>
      <c r="E29" s="218">
        <f>F195</f>
        <v>5512.1819749446277</v>
      </c>
      <c r="F29" s="132">
        <f t="shared" si="0"/>
        <v>7.7368132981579546E-2</v>
      </c>
      <c r="G29" s="4"/>
    </row>
    <row r="30" spans="1:7" s="2" customFormat="1" ht="17.25" customHeight="1" x14ac:dyDescent="0.2">
      <c r="A30" s="59" t="str">
        <f>A197</f>
        <v>3.1.3. Impostos e Seguros</v>
      </c>
      <c r="B30" s="43"/>
      <c r="C30" s="44"/>
      <c r="D30" s="44"/>
      <c r="E30" s="218">
        <f>F203</f>
        <v>1034.8783286293408</v>
      </c>
      <c r="F30" s="132">
        <f t="shared" si="0"/>
        <v>1.4525392034059966E-2</v>
      </c>
      <c r="G30" s="4"/>
    </row>
    <row r="31" spans="1:7" s="2" customFormat="1" ht="17.25" customHeight="1" x14ac:dyDescent="0.2">
      <c r="A31" s="59" t="str">
        <f>A205</f>
        <v>3.1.4. Consumos</v>
      </c>
      <c r="B31" s="43"/>
      <c r="C31" s="44"/>
      <c r="D31" s="44"/>
      <c r="E31" s="218">
        <f>F221</f>
        <v>6346.4111856448171</v>
      </c>
      <c r="F31" s="132">
        <f t="shared" si="0"/>
        <v>8.9077245054429571E-2</v>
      </c>
      <c r="G31" s="4"/>
    </row>
    <row r="32" spans="1:7" s="2" customFormat="1" ht="17.25" customHeight="1" x14ac:dyDescent="0.2">
      <c r="A32" s="59" t="str">
        <f>A223</f>
        <v>3.1.5. Manutenção</v>
      </c>
      <c r="B32" s="43"/>
      <c r="C32" s="44"/>
      <c r="D32" s="44"/>
      <c r="E32" s="218">
        <f>F226</f>
        <v>2071.333242857143</v>
      </c>
      <c r="F32" s="132">
        <f t="shared" si="0"/>
        <v>2.9072912779543655E-2</v>
      </c>
      <c r="G32" s="4"/>
    </row>
    <row r="33" spans="1:7" s="2" customFormat="1" ht="17.25" customHeight="1" x14ac:dyDescent="0.2">
      <c r="A33" s="59" t="str">
        <f>A228</f>
        <v>3.1.6. Pneus</v>
      </c>
      <c r="B33" s="43"/>
      <c r="C33" s="44"/>
      <c r="D33" s="44"/>
      <c r="E33" s="218">
        <f>F235</f>
        <v>798.94282224489803</v>
      </c>
      <c r="F33" s="132">
        <f t="shared" si="0"/>
        <v>1.121383778639541E-2</v>
      </c>
      <c r="G33" s="4"/>
    </row>
    <row r="34" spans="1:7" s="9" customFormat="1" ht="17.25" customHeight="1" x14ac:dyDescent="0.2">
      <c r="A34" s="310" t="str">
        <f>A239</f>
        <v>4. Ferramentas, Materiais de Consumo e Veículo de Apoio</v>
      </c>
      <c r="B34" s="127"/>
      <c r="C34" s="118"/>
      <c r="D34" s="118"/>
      <c r="E34" s="217">
        <f>+F249</f>
        <v>1171.6666666666667</v>
      </c>
      <c r="F34" s="119">
        <f t="shared" si="0"/>
        <v>1.6445331973580449E-2</v>
      </c>
      <c r="G34" s="41"/>
    </row>
    <row r="35" spans="1:7" s="9" customFormat="1" ht="17.25" customHeight="1" x14ac:dyDescent="0.2">
      <c r="A35" s="310" t="str">
        <f>A251</f>
        <v>5. Monitoramento da Frota</v>
      </c>
      <c r="B35" s="127"/>
      <c r="C35" s="118"/>
      <c r="D35" s="118"/>
      <c r="E35" s="217">
        <f>+F259</f>
        <v>281.66666538636366</v>
      </c>
      <c r="F35" s="119">
        <f t="shared" si="0"/>
        <v>3.9534297167881805E-3</v>
      </c>
      <c r="G35" s="41"/>
    </row>
    <row r="36" spans="1:7" s="9" customFormat="1" ht="17.25" customHeight="1" thickBot="1" x14ac:dyDescent="0.25">
      <c r="A36" s="310" t="str">
        <f>A263</f>
        <v>6. Benefícios e Despesas Indiretas - BDI</v>
      </c>
      <c r="B36" s="127"/>
      <c r="C36" s="118"/>
      <c r="D36" s="118"/>
      <c r="E36" s="219">
        <f>+F268</f>
        <v>14512.475222532488</v>
      </c>
      <c r="F36" s="119">
        <f t="shared" si="0"/>
        <v>0.2036948558687689</v>
      </c>
      <c r="G36" s="41"/>
    </row>
    <row r="37" spans="1:7" s="2" customFormat="1" ht="17.25" customHeight="1" thickBot="1" x14ac:dyDescent="0.25">
      <c r="A37" s="39" t="s">
        <v>214</v>
      </c>
      <c r="B37" s="40"/>
      <c r="C37" s="24"/>
      <c r="D37" s="24"/>
      <c r="E37" s="106">
        <f>E17+E25+E26+E34+E35+E36</f>
        <v>71246.154747679044</v>
      </c>
      <c r="F37" s="131">
        <f>F17+F25+F26+F34+F35+F36</f>
        <v>1</v>
      </c>
      <c r="G37" s="4"/>
    </row>
    <row r="39" spans="1:7" ht="13.5" thickBot="1" x14ac:dyDescent="0.25"/>
    <row r="40" spans="1:7" s="2" customFormat="1" ht="15" customHeight="1" thickBot="1" x14ac:dyDescent="0.25">
      <c r="A40" s="420" t="s">
        <v>96</v>
      </c>
      <c r="B40" s="421"/>
      <c r="C40" s="421"/>
      <c r="D40" s="421"/>
      <c r="E40" s="422"/>
      <c r="F40" s="8"/>
      <c r="G40" s="4"/>
    </row>
    <row r="41" spans="1:7" s="2" customFormat="1" ht="15" customHeight="1" thickBot="1" x14ac:dyDescent="0.25">
      <c r="A41" s="425" t="s">
        <v>40</v>
      </c>
      <c r="B41" s="426"/>
      <c r="C41" s="426"/>
      <c r="D41" s="427"/>
      <c r="E41" s="45" t="s">
        <v>41</v>
      </c>
      <c r="F41" s="8"/>
      <c r="G41" s="4"/>
    </row>
    <row r="42" spans="1:7" s="2" customFormat="1" ht="15" customHeight="1" x14ac:dyDescent="0.2">
      <c r="A42" s="67" t="str">
        <f>+A53</f>
        <v>1.1. Coletor Turno Dia</v>
      </c>
      <c r="B42" s="68"/>
      <c r="C42" s="68"/>
      <c r="D42" s="69"/>
      <c r="E42" s="70">
        <f>C63</f>
        <v>4</v>
      </c>
      <c r="F42" s="8"/>
      <c r="G42" s="4"/>
    </row>
    <row r="43" spans="1:7" s="2" customFormat="1" ht="15" customHeight="1" x14ac:dyDescent="0.2">
      <c r="A43" s="61" t="str">
        <f>+A66</f>
        <v>1.2. Supervisor/Encarregado</v>
      </c>
      <c r="B43" s="60"/>
      <c r="C43" s="60"/>
      <c r="D43" s="71"/>
      <c r="E43" s="64">
        <f>C82</f>
        <v>1</v>
      </c>
      <c r="F43" s="8"/>
      <c r="G43" s="4"/>
    </row>
    <row r="44" spans="1:7" s="2" customFormat="1" ht="15" customHeight="1" x14ac:dyDescent="0.2">
      <c r="A44" s="61" t="str">
        <f>+A85</f>
        <v>1.3. Motorista Turno do Dia</v>
      </c>
      <c r="B44" s="60"/>
      <c r="C44" s="60"/>
      <c r="D44" s="71"/>
      <c r="E44" s="64">
        <f>C97</f>
        <v>2</v>
      </c>
      <c r="F44" s="8"/>
      <c r="G44" s="4"/>
    </row>
    <row r="45" spans="1:7" s="2" customFormat="1" ht="15" customHeight="1" thickBot="1" x14ac:dyDescent="0.25">
      <c r="A45" s="65" t="s">
        <v>59</v>
      </c>
      <c r="B45" s="66"/>
      <c r="C45" s="66"/>
      <c r="D45" s="72"/>
      <c r="E45" s="73">
        <f>SUM(E42:E44)</f>
        <v>7</v>
      </c>
      <c r="F45" s="8"/>
      <c r="G45" s="4"/>
    </row>
    <row r="46" spans="1:7" s="2" customFormat="1" ht="15" customHeight="1" thickBot="1" x14ac:dyDescent="0.25">
      <c r="A46" s="120"/>
      <c r="B46" s="121"/>
      <c r="C46" s="53"/>
      <c r="D46" s="53"/>
      <c r="E46" s="122"/>
      <c r="F46" s="8"/>
      <c r="G46" s="4"/>
    </row>
    <row r="47" spans="1:7" s="2" customFormat="1" ht="15" customHeight="1" x14ac:dyDescent="0.2">
      <c r="A47" s="412" t="s">
        <v>57</v>
      </c>
      <c r="B47" s="413"/>
      <c r="C47" s="413"/>
      <c r="D47" s="413"/>
      <c r="E47" s="45" t="s">
        <v>41</v>
      </c>
      <c r="F47" s="7"/>
      <c r="G47" s="4"/>
    </row>
    <row r="48" spans="1:7" s="2" customFormat="1" ht="15" customHeight="1" thickBot="1" x14ac:dyDescent="0.25">
      <c r="A48" s="123" t="str">
        <f>+A163</f>
        <v xml:space="preserve">3.1. Veículo Coletor </v>
      </c>
      <c r="B48" s="124"/>
      <c r="C48" s="124"/>
      <c r="D48" s="125"/>
      <c r="E48" s="126">
        <f>C178</f>
        <v>2</v>
      </c>
      <c r="F48" s="7"/>
      <c r="G48" s="4"/>
    </row>
    <row r="49" spans="1:7" s="2" customFormat="1" ht="13.5" thickBot="1" x14ac:dyDescent="0.25">
      <c r="A49" s="53"/>
      <c r="B49" s="53"/>
      <c r="C49" s="53"/>
      <c r="D49" s="7"/>
      <c r="E49" s="62"/>
      <c r="F49" s="7"/>
      <c r="G49" s="4"/>
    </row>
    <row r="50" spans="1:7" s="9" customFormat="1" ht="15.75" customHeight="1" thickBot="1" x14ac:dyDescent="0.25">
      <c r="A50" s="221" t="s">
        <v>177</v>
      </c>
      <c r="B50" s="265">
        <f>'6.Horários'!F16/'6.Horários'!F17</f>
        <v>0.99999999545454543</v>
      </c>
      <c r="C50" s="32"/>
      <c r="E50" s="140"/>
      <c r="G50" s="41"/>
    </row>
    <row r="51" spans="1:7" s="2" customFormat="1" ht="15.75" customHeight="1" x14ac:dyDescent="0.2">
      <c r="A51" s="53"/>
      <c r="B51" s="53"/>
      <c r="C51" s="53"/>
      <c r="D51" s="7"/>
      <c r="E51" s="62"/>
      <c r="F51" s="7"/>
      <c r="G51" s="4"/>
    </row>
    <row r="52" spans="1:7" ht="13.15" customHeight="1" x14ac:dyDescent="0.2">
      <c r="A52" s="9" t="s">
        <v>48</v>
      </c>
    </row>
    <row r="53" spans="1:7" ht="13.9" customHeight="1" thickBot="1" x14ac:dyDescent="0.25">
      <c r="A53" s="7" t="s">
        <v>99</v>
      </c>
    </row>
    <row r="54" spans="1:7" ht="13.9" customHeight="1" thickBot="1" x14ac:dyDescent="0.25">
      <c r="A54" s="54" t="s">
        <v>63</v>
      </c>
      <c r="B54" s="55" t="s">
        <v>64</v>
      </c>
      <c r="C54" s="55" t="s">
        <v>41</v>
      </c>
      <c r="D54" s="56" t="s">
        <v>210</v>
      </c>
      <c r="E54" s="56" t="s">
        <v>65</v>
      </c>
      <c r="F54" s="57" t="s">
        <v>66</v>
      </c>
    </row>
    <row r="55" spans="1:7" ht="13.15" customHeight="1" x14ac:dyDescent="0.2">
      <c r="A55" s="11" t="s">
        <v>191</v>
      </c>
      <c r="B55" s="12" t="s">
        <v>8</v>
      </c>
      <c r="C55" s="12">
        <v>1</v>
      </c>
      <c r="D55" s="264">
        <v>1949.91</v>
      </c>
      <c r="E55" s="13">
        <f>C55*D55</f>
        <v>1949.91</v>
      </c>
    </row>
    <row r="56" spans="1:7" hidden="1" x14ac:dyDescent="0.2">
      <c r="A56" s="14" t="s">
        <v>35</v>
      </c>
      <c r="B56" s="15" t="s">
        <v>0</v>
      </c>
      <c r="C56" s="80"/>
      <c r="D56" s="16">
        <f>D55/220*2</f>
        <v>17.726454545454548</v>
      </c>
      <c r="E56" s="16">
        <f>C56*D56</f>
        <v>0</v>
      </c>
      <c r="G56" s="8" t="s">
        <v>220</v>
      </c>
    </row>
    <row r="57" spans="1:7" hidden="1" x14ac:dyDescent="0.2">
      <c r="A57" s="14" t="s">
        <v>36</v>
      </c>
      <c r="B57" s="15" t="s">
        <v>0</v>
      </c>
      <c r="C57" s="80"/>
      <c r="D57" s="16">
        <f>D55/220*1.5</f>
        <v>13.294840909090912</v>
      </c>
      <c r="E57" s="16">
        <f>C57*D57</f>
        <v>0</v>
      </c>
      <c r="G57" s="8" t="s">
        <v>222</v>
      </c>
    </row>
    <row r="58" spans="1:7" hidden="1" x14ac:dyDescent="0.2">
      <c r="A58" s="14" t="s">
        <v>195</v>
      </c>
      <c r="B58" s="15" t="s">
        <v>34</v>
      </c>
      <c r="D58" s="16">
        <f>63/302*(SUM(E56:E57))</f>
        <v>0</v>
      </c>
      <c r="E58" s="16">
        <f>D58</f>
        <v>0</v>
      </c>
      <c r="G58" s="8" t="s">
        <v>194</v>
      </c>
    </row>
    <row r="59" spans="1:7" x14ac:dyDescent="0.2">
      <c r="A59" s="14" t="s">
        <v>1</v>
      </c>
      <c r="B59" s="15" t="s">
        <v>2</v>
      </c>
      <c r="C59" s="15">
        <v>40</v>
      </c>
      <c r="D59" s="75">
        <f>SUM(E55:E58)</f>
        <v>1949.91</v>
      </c>
      <c r="E59" s="16">
        <f>C59*D59/100</f>
        <v>779.96400000000006</v>
      </c>
    </row>
    <row r="60" spans="1:7" x14ac:dyDescent="0.2">
      <c r="A60" s="108" t="s">
        <v>3</v>
      </c>
      <c r="B60" s="109"/>
      <c r="C60" s="109"/>
      <c r="D60" s="110"/>
      <c r="E60" s="111">
        <f>SUM(E55:E59)</f>
        <v>2729.8740000000003</v>
      </c>
    </row>
    <row r="61" spans="1:7" x14ac:dyDescent="0.2">
      <c r="A61" s="14" t="s">
        <v>4</v>
      </c>
      <c r="B61" s="15" t="s">
        <v>2</v>
      </c>
      <c r="C61" s="129">
        <f>'3.Enc Sociais'!C38*100</f>
        <v>69.980800000000002</v>
      </c>
      <c r="D61" s="16">
        <f>E60</f>
        <v>2729.8740000000003</v>
      </c>
      <c r="E61" s="16">
        <f>D61*C61/100</f>
        <v>1910.3876641920003</v>
      </c>
    </row>
    <row r="62" spans="1:7" x14ac:dyDescent="0.2">
      <c r="A62" s="108" t="s">
        <v>72</v>
      </c>
      <c r="B62" s="109"/>
      <c r="C62" s="109"/>
      <c r="D62" s="110"/>
      <c r="E62" s="111">
        <f>E60+E61</f>
        <v>4640.2616641920004</v>
      </c>
    </row>
    <row r="63" spans="1:7" ht="13.5" thickBot="1" x14ac:dyDescent="0.25">
      <c r="A63" s="14" t="s">
        <v>5</v>
      </c>
      <c r="B63" s="15" t="s">
        <v>6</v>
      </c>
      <c r="C63" s="78">
        <v>4</v>
      </c>
      <c r="D63" s="16">
        <f>E62</f>
        <v>4640.2616641920004</v>
      </c>
      <c r="E63" s="16">
        <f>C63*D63</f>
        <v>18561.046656768001</v>
      </c>
      <c r="G63" s="4"/>
    </row>
    <row r="64" spans="1:7" ht="13.9" customHeight="1" thickBot="1" x14ac:dyDescent="0.25">
      <c r="A64" s="5"/>
      <c r="D64" s="114" t="s">
        <v>176</v>
      </c>
      <c r="E64" s="266">
        <f>B50</f>
        <v>0.99999999545454543</v>
      </c>
      <c r="F64" s="115">
        <f>E63*E64</f>
        <v>18561.046572399606</v>
      </c>
      <c r="G64" s="4"/>
    </row>
    <row r="65" spans="1:7" ht="11.25" customHeight="1" x14ac:dyDescent="0.2"/>
    <row r="66" spans="1:7" ht="13.5" thickBot="1" x14ac:dyDescent="0.25">
      <c r="A66" s="5" t="s">
        <v>406</v>
      </c>
    </row>
    <row r="67" spans="1:7" ht="13.5" thickBot="1" x14ac:dyDescent="0.25">
      <c r="A67" s="54" t="s">
        <v>63</v>
      </c>
      <c r="B67" s="55" t="s">
        <v>64</v>
      </c>
      <c r="C67" s="55" t="s">
        <v>41</v>
      </c>
      <c r="D67" s="56" t="s">
        <v>210</v>
      </c>
      <c r="E67" s="56" t="s">
        <v>65</v>
      </c>
      <c r="F67" s="57" t="s">
        <v>66</v>
      </c>
    </row>
    <row r="68" spans="1:7" x14ac:dyDescent="0.2">
      <c r="A68" s="11" t="s">
        <v>191</v>
      </c>
      <c r="B68" s="12" t="s">
        <v>8</v>
      </c>
      <c r="C68" s="12">
        <v>1</v>
      </c>
      <c r="D68" s="79">
        <v>3000</v>
      </c>
      <c r="E68" s="13">
        <f>C68*D68</f>
        <v>3000</v>
      </c>
    </row>
    <row r="69" spans="1:7" hidden="1" x14ac:dyDescent="0.2">
      <c r="A69" s="14" t="s">
        <v>7</v>
      </c>
      <c r="B69" s="15" t="s">
        <v>97</v>
      </c>
      <c r="C69" s="80"/>
      <c r="D69" s="16"/>
      <c r="E69" s="16"/>
    </row>
    <row r="70" spans="1:7" hidden="1" x14ac:dyDescent="0.2">
      <c r="A70" s="14"/>
      <c r="B70" s="15" t="s">
        <v>101</v>
      </c>
      <c r="C70" s="112">
        <f>C69*8/7</f>
        <v>0</v>
      </c>
      <c r="D70" s="16">
        <f>D68/220*0.2</f>
        <v>2.7272727272727275</v>
      </c>
      <c r="E70" s="16">
        <f>C69*D70</f>
        <v>0</v>
      </c>
    </row>
    <row r="71" spans="1:7" hidden="1" x14ac:dyDescent="0.2">
      <c r="A71" s="14" t="s">
        <v>35</v>
      </c>
      <c r="B71" s="15" t="s">
        <v>0</v>
      </c>
      <c r="C71" s="80"/>
      <c r="D71" s="16">
        <f>D68/220*2</f>
        <v>27.272727272727273</v>
      </c>
      <c r="E71" s="16">
        <f>C71*D71</f>
        <v>0</v>
      </c>
      <c r="G71" s="8" t="s">
        <v>220</v>
      </c>
    </row>
    <row r="72" spans="1:7" hidden="1" x14ac:dyDescent="0.2">
      <c r="A72" s="14" t="s">
        <v>98</v>
      </c>
      <c r="B72" s="15" t="s">
        <v>97</v>
      </c>
      <c r="C72" s="80"/>
      <c r="D72" s="16"/>
      <c r="E72" s="16"/>
      <c r="G72" s="8" t="s">
        <v>221</v>
      </c>
    </row>
    <row r="73" spans="1:7" hidden="1" x14ac:dyDescent="0.2">
      <c r="A73" s="14"/>
      <c r="B73" s="15" t="s">
        <v>101</v>
      </c>
      <c r="C73" s="112">
        <f>C72*8/7</f>
        <v>0</v>
      </c>
      <c r="D73" s="16">
        <f>D68/220*2*1.2</f>
        <v>32.727272727272727</v>
      </c>
      <c r="E73" s="16">
        <f>C73*D73</f>
        <v>0</v>
      </c>
      <c r="G73" s="8" t="s">
        <v>221</v>
      </c>
    </row>
    <row r="74" spans="1:7" hidden="1" x14ac:dyDescent="0.2">
      <c r="A74" s="14" t="s">
        <v>36</v>
      </c>
      <c r="B74" s="15" t="s">
        <v>0</v>
      </c>
      <c r="C74" s="80"/>
      <c r="D74" s="16">
        <f>D68/220*1.5</f>
        <v>20.454545454545453</v>
      </c>
      <c r="E74" s="16">
        <f>C74*D74</f>
        <v>0</v>
      </c>
      <c r="G74" s="8" t="s">
        <v>222</v>
      </c>
    </row>
    <row r="75" spans="1:7" hidden="1" x14ac:dyDescent="0.2">
      <c r="A75" s="14" t="s">
        <v>193</v>
      </c>
      <c r="B75" s="15" t="s">
        <v>97</v>
      </c>
      <c r="C75" s="80"/>
      <c r="D75" s="16"/>
      <c r="E75" s="16"/>
      <c r="G75" s="8" t="s">
        <v>223</v>
      </c>
    </row>
    <row r="76" spans="1:7" hidden="1" x14ac:dyDescent="0.2">
      <c r="A76" s="14"/>
      <c r="B76" s="15" t="s">
        <v>101</v>
      </c>
      <c r="C76" s="16">
        <f>C75*8/7</f>
        <v>0</v>
      </c>
      <c r="D76" s="16">
        <f>D68/220*1.5*1.2</f>
        <v>24.545454545454543</v>
      </c>
      <c r="E76" s="16">
        <f>C76*D76</f>
        <v>0</v>
      </c>
      <c r="G76" s="8" t="s">
        <v>223</v>
      </c>
    </row>
    <row r="77" spans="1:7" ht="13.15" hidden="1" customHeight="1" x14ac:dyDescent="0.2">
      <c r="A77" s="14" t="s">
        <v>195</v>
      </c>
      <c r="B77" s="15" t="s">
        <v>34</v>
      </c>
      <c r="D77" s="16">
        <f>63/302*(SUM(E71:E76))</f>
        <v>0</v>
      </c>
      <c r="E77" s="16">
        <f>D77</f>
        <v>0</v>
      </c>
      <c r="G77" s="8" t="s">
        <v>194</v>
      </c>
    </row>
    <row r="78" spans="1:7" x14ac:dyDescent="0.2">
      <c r="A78" s="14" t="s">
        <v>1</v>
      </c>
      <c r="B78" s="15" t="s">
        <v>2</v>
      </c>
      <c r="C78" s="15">
        <v>40</v>
      </c>
      <c r="D78" s="81">
        <v>1518</v>
      </c>
      <c r="E78" s="16">
        <f>C78*D78/100</f>
        <v>607.20000000000005</v>
      </c>
    </row>
    <row r="79" spans="1:7" x14ac:dyDescent="0.2">
      <c r="A79" s="108" t="s">
        <v>3</v>
      </c>
      <c r="B79" s="109"/>
      <c r="C79" s="109"/>
      <c r="D79" s="110"/>
      <c r="E79" s="111">
        <f>SUM(E68:E78)</f>
        <v>3607.2</v>
      </c>
    </row>
    <row r="80" spans="1:7" x14ac:dyDescent="0.2">
      <c r="A80" s="14" t="s">
        <v>4</v>
      </c>
      <c r="B80" s="15" t="s">
        <v>2</v>
      </c>
      <c r="C80" s="129">
        <f>'3.Enc Sociais'!C38*100</f>
        <v>69.980800000000002</v>
      </c>
      <c r="D80" s="16">
        <f>E79</f>
        <v>3607.2</v>
      </c>
      <c r="E80" s="16">
        <f>D80*C80/100</f>
        <v>2524.3474176</v>
      </c>
    </row>
    <row r="81" spans="1:7" x14ac:dyDescent="0.2">
      <c r="A81" s="108" t="s">
        <v>72</v>
      </c>
      <c r="B81" s="109"/>
      <c r="C81" s="109"/>
      <c r="D81" s="110"/>
      <c r="E81" s="111">
        <f>E79+E80</f>
        <v>6131.5474175999998</v>
      </c>
    </row>
    <row r="82" spans="1:7" ht="13.5" thickBot="1" x14ac:dyDescent="0.25">
      <c r="A82" s="14" t="s">
        <v>5</v>
      </c>
      <c r="B82" s="15" t="s">
        <v>6</v>
      </c>
      <c r="C82" s="78">
        <v>1</v>
      </c>
      <c r="D82" s="16">
        <f>E81</f>
        <v>6131.5474175999998</v>
      </c>
      <c r="E82" s="16">
        <f>C82*D82</f>
        <v>6131.5474175999998</v>
      </c>
    </row>
    <row r="83" spans="1:7" ht="13.5" thickBot="1" x14ac:dyDescent="0.25">
      <c r="A83" s="5" t="s">
        <v>464</v>
      </c>
      <c r="D83" s="114" t="s">
        <v>176</v>
      </c>
      <c r="E83" s="266">
        <f>14/44</f>
        <v>0.31818181818181818</v>
      </c>
      <c r="F83" s="115">
        <f>E82*E83</f>
        <v>1950.9469055999998</v>
      </c>
    </row>
    <row r="84" spans="1:7" ht="11.25" customHeight="1" x14ac:dyDescent="0.2"/>
    <row r="85" spans="1:7" ht="13.5" thickBot="1" x14ac:dyDescent="0.25">
      <c r="A85" s="7" t="s">
        <v>100</v>
      </c>
    </row>
    <row r="86" spans="1:7" s="10" customFormat="1" ht="13.15" customHeight="1" thickBot="1" x14ac:dyDescent="0.25">
      <c r="A86" s="54" t="s">
        <v>63</v>
      </c>
      <c r="B86" s="55" t="s">
        <v>64</v>
      </c>
      <c r="C86" s="55" t="s">
        <v>41</v>
      </c>
      <c r="D86" s="56" t="s">
        <v>210</v>
      </c>
      <c r="E86" s="56" t="s">
        <v>65</v>
      </c>
      <c r="F86" s="57" t="s">
        <v>66</v>
      </c>
      <c r="G86" s="8"/>
    </row>
    <row r="87" spans="1:7" x14ac:dyDescent="0.2">
      <c r="A87" s="257" t="s">
        <v>262</v>
      </c>
      <c r="B87" s="12" t="s">
        <v>8</v>
      </c>
      <c r="C87" s="12">
        <v>1</v>
      </c>
      <c r="D87" s="264">
        <f>2075.32*1.052</f>
        <v>2183.2366400000001</v>
      </c>
      <c r="E87" s="13">
        <f>C87*D87</f>
        <v>2183.2366400000001</v>
      </c>
    </row>
    <row r="88" spans="1:7" x14ac:dyDescent="0.2">
      <c r="A88" s="257" t="s">
        <v>263</v>
      </c>
      <c r="B88" s="12" t="s">
        <v>8</v>
      </c>
      <c r="C88" s="12">
        <v>1</v>
      </c>
      <c r="D88" s="79">
        <v>1518</v>
      </c>
      <c r="E88" s="13"/>
    </row>
    <row r="89" spans="1:7" hidden="1" x14ac:dyDescent="0.2">
      <c r="A89" s="14" t="s">
        <v>35</v>
      </c>
      <c r="B89" s="15" t="s">
        <v>0</v>
      </c>
      <c r="C89" s="80"/>
      <c r="D89" s="16">
        <f>D87/220*2</f>
        <v>19.847605818181819</v>
      </c>
      <c r="E89" s="16">
        <f>C89*D89</f>
        <v>0</v>
      </c>
      <c r="G89" s="8" t="s">
        <v>220</v>
      </c>
    </row>
    <row r="90" spans="1:7" hidden="1" x14ac:dyDescent="0.2">
      <c r="A90" s="14" t="s">
        <v>36</v>
      </c>
      <c r="B90" s="15" t="s">
        <v>0</v>
      </c>
      <c r="C90" s="80"/>
      <c r="D90" s="16">
        <f>D87/220*1.5</f>
        <v>14.885704363636364</v>
      </c>
      <c r="E90" s="16">
        <f>C90*D90</f>
        <v>0</v>
      </c>
      <c r="G90" s="8" t="s">
        <v>222</v>
      </c>
    </row>
    <row r="91" spans="1:7" ht="13.15" hidden="1" customHeight="1" x14ac:dyDescent="0.2">
      <c r="A91" s="14" t="s">
        <v>195</v>
      </c>
      <c r="B91" s="15" t="s">
        <v>34</v>
      </c>
      <c r="D91" s="16">
        <f>63/302*(SUM(E89:E90))</f>
        <v>0</v>
      </c>
      <c r="E91" s="16">
        <f>D91</f>
        <v>0</v>
      </c>
      <c r="G91" s="8" t="s">
        <v>194</v>
      </c>
    </row>
    <row r="92" spans="1:7" x14ac:dyDescent="0.2">
      <c r="A92" s="14" t="s">
        <v>192</v>
      </c>
      <c r="B92" s="15"/>
      <c r="C92" s="82">
        <v>1</v>
      </c>
      <c r="D92" s="16"/>
      <c r="E92" s="16"/>
    </row>
    <row r="93" spans="1:7" x14ac:dyDescent="0.2">
      <c r="A93" s="14" t="s">
        <v>1</v>
      </c>
      <c r="B93" s="15" t="s">
        <v>2</v>
      </c>
      <c r="C93" s="78">
        <v>40</v>
      </c>
      <c r="D93" s="75">
        <f>IF(C92=2,SUM(E87:E91),IF(C92=1,(SUM(E87:E91))*D88/D87,0))</f>
        <v>1518</v>
      </c>
      <c r="E93" s="16">
        <f>C93*D93/100</f>
        <v>607.20000000000005</v>
      </c>
    </row>
    <row r="94" spans="1:7" s="9" customFormat="1" x14ac:dyDescent="0.2">
      <c r="A94" s="94" t="s">
        <v>3</v>
      </c>
      <c r="B94" s="109"/>
      <c r="C94" s="109"/>
      <c r="D94" s="110"/>
      <c r="E94" s="96">
        <f>SUM(E87:E93)</f>
        <v>2790.4366399999999</v>
      </c>
      <c r="F94" s="41"/>
      <c r="G94" s="41"/>
    </row>
    <row r="95" spans="1:7" x14ac:dyDescent="0.2">
      <c r="A95" s="14" t="s">
        <v>4</v>
      </c>
      <c r="B95" s="15" t="s">
        <v>2</v>
      </c>
      <c r="C95" s="129">
        <f>'3.Enc Sociais'!C38*100</f>
        <v>69.980800000000002</v>
      </c>
      <c r="D95" s="16">
        <f>E94</f>
        <v>2790.4366399999999</v>
      </c>
      <c r="E95" s="16">
        <f>D95*C95/100</f>
        <v>1952.7698841651199</v>
      </c>
    </row>
    <row r="96" spans="1:7" s="9" customFormat="1" x14ac:dyDescent="0.2">
      <c r="A96" s="94" t="s">
        <v>224</v>
      </c>
      <c r="B96" s="227"/>
      <c r="C96" s="227"/>
      <c r="D96" s="228"/>
      <c r="E96" s="96">
        <f>E94+E95</f>
        <v>4743.2065241651198</v>
      </c>
      <c r="F96" s="41"/>
      <c r="G96" s="41"/>
    </row>
    <row r="97" spans="1:7" ht="13.5" thickBot="1" x14ac:dyDescent="0.25">
      <c r="A97" s="14" t="s">
        <v>5</v>
      </c>
      <c r="B97" s="15" t="s">
        <v>6</v>
      </c>
      <c r="C97" s="78">
        <v>2</v>
      </c>
      <c r="D97" s="16">
        <f>E96</f>
        <v>4743.2065241651198</v>
      </c>
      <c r="E97" s="16">
        <f>C97*D97</f>
        <v>9486.4130483302397</v>
      </c>
    </row>
    <row r="98" spans="1:7" ht="13.5" thickBot="1" x14ac:dyDescent="0.25">
      <c r="A98" s="5" t="s">
        <v>489</v>
      </c>
      <c r="D98" s="114" t="s">
        <v>176</v>
      </c>
      <c r="E98" s="266">
        <f>'6.Horários'!F18</f>
        <v>0.99999999545454543</v>
      </c>
      <c r="F98" s="115">
        <f>E97*E98</f>
        <v>9486.4130052101809</v>
      </c>
    </row>
    <row r="99" spans="1:7" ht="11.25" customHeight="1" x14ac:dyDescent="0.2">
      <c r="A99" s="5"/>
    </row>
    <row r="100" spans="1:7" ht="13.5" thickBot="1" x14ac:dyDescent="0.25">
      <c r="A100" s="5" t="s">
        <v>414</v>
      </c>
      <c r="B100" s="85"/>
      <c r="D100" s="7"/>
      <c r="E100" s="300"/>
      <c r="G100" s="7"/>
    </row>
    <row r="101" spans="1:7" ht="13.5" thickBot="1" x14ac:dyDescent="0.25">
      <c r="A101" s="54" t="s">
        <v>63</v>
      </c>
      <c r="B101" s="55" t="s">
        <v>64</v>
      </c>
      <c r="C101" s="55" t="s">
        <v>41</v>
      </c>
      <c r="D101" s="56" t="s">
        <v>210</v>
      </c>
      <c r="E101" s="56" t="s">
        <v>65</v>
      </c>
      <c r="F101" s="57" t="s">
        <v>66</v>
      </c>
      <c r="G101" s="7"/>
    </row>
    <row r="102" spans="1:7" x14ac:dyDescent="0.2">
      <c r="A102" s="14" t="s">
        <v>90</v>
      </c>
      <c r="B102" s="15" t="s">
        <v>34</v>
      </c>
      <c r="C102" s="86">
        <v>1</v>
      </c>
      <c r="D102" s="84">
        <v>5.2</v>
      </c>
      <c r="E102" s="16"/>
      <c r="G102" s="7"/>
    </row>
    <row r="103" spans="1:7" x14ac:dyDescent="0.2">
      <c r="A103" s="14" t="s">
        <v>91</v>
      </c>
      <c r="B103" s="15" t="s">
        <v>92</v>
      </c>
      <c r="C103" s="83">
        <v>25</v>
      </c>
      <c r="D103" s="16"/>
      <c r="E103" s="16"/>
      <c r="G103" s="7"/>
    </row>
    <row r="104" spans="1:7" x14ac:dyDescent="0.2">
      <c r="A104" s="14" t="s">
        <v>73</v>
      </c>
      <c r="B104" s="15" t="s">
        <v>9</v>
      </c>
      <c r="C104" s="34">
        <f>C63*C103*2</f>
        <v>200</v>
      </c>
      <c r="D104" s="13">
        <f>IFERROR((($C$103*2*$D$102)-(E55*0.06*C103/26))/($C$103*2),"-")</f>
        <v>2.950103846153846</v>
      </c>
      <c r="E104" s="16">
        <f>IFERROR(C104*D104,"-")</f>
        <v>590.02076923076925</v>
      </c>
      <c r="G104" s="7"/>
    </row>
    <row r="105" spans="1:7" ht="13.5" thickBot="1" x14ac:dyDescent="0.25">
      <c r="A105" s="11" t="s">
        <v>45</v>
      </c>
      <c r="B105" s="12" t="s">
        <v>9</v>
      </c>
      <c r="C105" s="34">
        <f>C97*C103*2</f>
        <v>100</v>
      </c>
      <c r="D105" s="13">
        <f>IFERROR((($C$103*2*$D$102)-(E87*0.06*C103/26))/($C$103*2),"-")</f>
        <v>2.6808807999999997</v>
      </c>
      <c r="E105" s="13">
        <f>IFERROR(C105*D105,"-")</f>
        <v>268.08807999999999</v>
      </c>
      <c r="G105" s="7"/>
    </row>
    <row r="106" spans="1:7" ht="13.5" thickBot="1" x14ac:dyDescent="0.25">
      <c r="F106" s="20">
        <f>SUM(E104:E105)</f>
        <v>858.10884923076924</v>
      </c>
      <c r="G106" s="7"/>
    </row>
    <row r="107" spans="1:7" x14ac:dyDescent="0.2">
      <c r="G107" s="7"/>
    </row>
    <row r="108" spans="1:7" ht="13.5" thickBot="1" x14ac:dyDescent="0.25">
      <c r="A108" s="5" t="s">
        <v>415</v>
      </c>
      <c r="F108" s="21"/>
      <c r="G108" s="7"/>
    </row>
    <row r="109" spans="1:7" ht="13.5" thickBot="1" x14ac:dyDescent="0.25">
      <c r="A109" s="54" t="s">
        <v>63</v>
      </c>
      <c r="B109" s="55" t="s">
        <v>64</v>
      </c>
      <c r="C109" s="55" t="s">
        <v>41</v>
      </c>
      <c r="D109" s="56" t="s">
        <v>210</v>
      </c>
      <c r="E109" s="56" t="s">
        <v>65</v>
      </c>
      <c r="F109" s="57" t="s">
        <v>66</v>
      </c>
      <c r="G109" s="7"/>
    </row>
    <row r="110" spans="1:7" x14ac:dyDescent="0.2">
      <c r="A110" s="14" t="str">
        <f>+A104</f>
        <v>Coletor</v>
      </c>
      <c r="B110" s="15" t="s">
        <v>10</v>
      </c>
      <c r="C110" s="93">
        <f>C63*C103</f>
        <v>100</v>
      </c>
      <c r="D110" s="331">
        <f>(25.42*0.81)</f>
        <v>20.590200000000003</v>
      </c>
      <c r="E110" s="47">
        <f>C110*D110</f>
        <v>2059.0200000000004</v>
      </c>
      <c r="F110" s="21"/>
      <c r="G110" s="7"/>
    </row>
    <row r="111" spans="1:7" x14ac:dyDescent="0.2">
      <c r="A111" s="14" t="str">
        <f>+A105</f>
        <v>Motorista</v>
      </c>
      <c r="B111" s="15" t="s">
        <v>10</v>
      </c>
      <c r="C111" s="93">
        <f>C97*C103</f>
        <v>50</v>
      </c>
      <c r="D111" s="331">
        <f>16.52*0.8</f>
        <v>13.216000000000001</v>
      </c>
      <c r="E111" s="47">
        <f>C111*D111</f>
        <v>660.80000000000007</v>
      </c>
      <c r="F111" s="21"/>
      <c r="G111" s="7"/>
    </row>
    <row r="112" spans="1:7" ht="13.5" thickBot="1" x14ac:dyDescent="0.25">
      <c r="A112" s="279" t="s">
        <v>410</v>
      </c>
      <c r="B112" s="15" t="s">
        <v>10</v>
      </c>
      <c r="C112" s="93">
        <v>10</v>
      </c>
      <c r="D112" s="331">
        <f>(25.42*0.81)</f>
        <v>20.590200000000003</v>
      </c>
      <c r="E112" s="47">
        <f>C112*D112</f>
        <v>205.90200000000004</v>
      </c>
      <c r="F112" s="21"/>
      <c r="G112" s="7"/>
    </row>
    <row r="113" spans="1:7" ht="13.5" thickBot="1" x14ac:dyDescent="0.25">
      <c r="F113" s="20">
        <f>SUM(E110:E111)</f>
        <v>2719.8200000000006</v>
      </c>
      <c r="G113" s="7"/>
    </row>
    <row r="114" spans="1:7" x14ac:dyDescent="0.2">
      <c r="G114" s="7"/>
    </row>
    <row r="115" spans="1:7" ht="13.5" thickBot="1" x14ac:dyDescent="0.25">
      <c r="A115" s="5" t="s">
        <v>416</v>
      </c>
      <c r="F115" s="21"/>
      <c r="G115" s="7"/>
    </row>
    <row r="116" spans="1:7" ht="13.5" thickBot="1" x14ac:dyDescent="0.25">
      <c r="A116" s="54" t="s">
        <v>63</v>
      </c>
      <c r="B116" s="55" t="s">
        <v>64</v>
      </c>
      <c r="C116" s="55" t="s">
        <v>41</v>
      </c>
      <c r="D116" s="56" t="s">
        <v>210</v>
      </c>
      <c r="E116" s="56" t="s">
        <v>65</v>
      </c>
      <c r="F116" s="57" t="s">
        <v>66</v>
      </c>
      <c r="G116" s="7"/>
    </row>
    <row r="117" spans="1:7" s="5" customFormat="1" x14ac:dyDescent="0.2">
      <c r="A117" s="279" t="s">
        <v>455</v>
      </c>
      <c r="B117" s="308" t="s">
        <v>10</v>
      </c>
      <c r="C117" s="332">
        <v>2</v>
      </c>
      <c r="D117" s="331">
        <f>125.35*0.8</f>
        <v>100.28</v>
      </c>
      <c r="E117" s="333">
        <f>C117*D117</f>
        <v>200.56</v>
      </c>
      <c r="F117" s="21"/>
    </row>
    <row r="118" spans="1:7" s="5" customFormat="1" ht="13.5" thickBot="1" x14ac:dyDescent="0.25">
      <c r="A118" s="279" t="s">
        <v>411</v>
      </c>
      <c r="B118" s="308" t="s">
        <v>64</v>
      </c>
      <c r="C118" s="332">
        <v>2</v>
      </c>
      <c r="D118" s="331">
        <v>88</v>
      </c>
      <c r="E118" s="333">
        <f>C118*D118</f>
        <v>176</v>
      </c>
      <c r="F118" s="21"/>
    </row>
    <row r="119" spans="1:7" ht="13.5" thickBot="1" x14ac:dyDescent="0.25">
      <c r="D119" s="114" t="s">
        <v>176</v>
      </c>
      <c r="E119" s="266">
        <f>$B$50</f>
        <v>0.99999999545454543</v>
      </c>
      <c r="F119" s="20">
        <f>SUM(E117:E118)*E119</f>
        <v>376.5599982883636</v>
      </c>
      <c r="G119" s="7"/>
    </row>
    <row r="120" spans="1:7" x14ac:dyDescent="0.2">
      <c r="D120" s="114"/>
      <c r="E120" s="312"/>
      <c r="G120" s="7"/>
    </row>
    <row r="121" spans="1:7" s="5" customFormat="1" ht="13.5" thickBot="1" x14ac:dyDescent="0.25">
      <c r="A121" s="5" t="s">
        <v>417</v>
      </c>
      <c r="D121" s="309"/>
      <c r="E121" s="309"/>
      <c r="F121" s="21"/>
    </row>
    <row r="122" spans="1:7" s="5" customFormat="1" ht="13.5" thickBot="1" x14ac:dyDescent="0.25">
      <c r="A122" s="54" t="s">
        <v>63</v>
      </c>
      <c r="B122" s="55" t="s">
        <v>64</v>
      </c>
      <c r="C122" s="55" t="s">
        <v>41</v>
      </c>
      <c r="D122" s="56" t="s">
        <v>210</v>
      </c>
      <c r="E122" s="56" t="s">
        <v>65</v>
      </c>
      <c r="F122" s="57" t="s">
        <v>66</v>
      </c>
    </row>
    <row r="123" spans="1:7" s="5" customFormat="1" ht="13.5" thickBot="1" x14ac:dyDescent="0.25">
      <c r="A123" s="279" t="s">
        <v>412</v>
      </c>
      <c r="B123" s="308" t="s">
        <v>10</v>
      </c>
      <c r="C123" s="334">
        <f>C63</f>
        <v>4</v>
      </c>
      <c r="D123" s="335">
        <v>24.1</v>
      </c>
      <c r="E123" s="336">
        <f>C123*D123</f>
        <v>96.4</v>
      </c>
      <c r="F123" s="21"/>
    </row>
    <row r="124" spans="1:7" s="5" customFormat="1" ht="13.5" hidden="1" thickBot="1" x14ac:dyDescent="0.25">
      <c r="A124" s="279"/>
      <c r="B124" s="308" t="s">
        <v>10</v>
      </c>
      <c r="C124" s="334">
        <v>0</v>
      </c>
      <c r="D124" s="335">
        <v>0</v>
      </c>
      <c r="E124" s="336"/>
      <c r="F124" s="21"/>
    </row>
    <row r="125" spans="1:7" s="5" customFormat="1" ht="13.5" thickBot="1" x14ac:dyDescent="0.25">
      <c r="A125" s="337"/>
      <c r="B125" s="337"/>
      <c r="D125" s="338" t="s">
        <v>413</v>
      </c>
      <c r="E125" s="339">
        <f>E64</f>
        <v>0.99999999545454543</v>
      </c>
      <c r="F125" s="340">
        <f>SUM(E123:E124)*E125</f>
        <v>96.399999561818191</v>
      </c>
    </row>
    <row r="126" spans="1:7" ht="13.5" thickBot="1" x14ac:dyDescent="0.25">
      <c r="G126" s="7"/>
    </row>
    <row r="127" spans="1:7" ht="13.5" thickBot="1" x14ac:dyDescent="0.25">
      <c r="A127" s="22" t="s">
        <v>93</v>
      </c>
      <c r="B127" s="23"/>
      <c r="C127" s="23"/>
      <c r="D127" s="24"/>
      <c r="E127" s="25"/>
      <c r="F127" s="20">
        <f>F98+F83+F64+F106+F113+F119+F125</f>
        <v>34049.295330290741</v>
      </c>
      <c r="G127" s="7"/>
    </row>
    <row r="129" spans="1:7" x14ac:dyDescent="0.2">
      <c r="A129" s="9" t="s">
        <v>46</v>
      </c>
      <c r="G129" s="7"/>
    </row>
    <row r="130" spans="1:7" ht="13.9" customHeight="1" thickBot="1" x14ac:dyDescent="0.25">
      <c r="A130" s="7" t="s">
        <v>178</v>
      </c>
      <c r="G130" s="7"/>
    </row>
    <row r="131" spans="1:7" ht="27.75" customHeight="1" thickBot="1" x14ac:dyDescent="0.25">
      <c r="A131" s="54" t="s">
        <v>63</v>
      </c>
      <c r="B131" s="55" t="s">
        <v>64</v>
      </c>
      <c r="C131" s="229" t="s">
        <v>225</v>
      </c>
      <c r="D131" s="56" t="s">
        <v>210</v>
      </c>
      <c r="E131" s="56" t="s">
        <v>65</v>
      </c>
      <c r="F131" s="57" t="s">
        <v>66</v>
      </c>
      <c r="G131" s="7"/>
    </row>
    <row r="132" spans="1:7" x14ac:dyDescent="0.2">
      <c r="A132" s="257" t="s">
        <v>67</v>
      </c>
      <c r="B132" s="281" t="s">
        <v>10</v>
      </c>
      <c r="C132" s="396">
        <v>12</v>
      </c>
      <c r="D132" s="264">
        <v>170</v>
      </c>
      <c r="E132" s="345">
        <f t="shared" ref="E132:E144" si="1">IFERROR(D132/C132,0)</f>
        <v>14.166666666666666</v>
      </c>
      <c r="G132" s="7"/>
    </row>
    <row r="133" spans="1:7" ht="13.15" customHeight="1" x14ac:dyDescent="0.2">
      <c r="A133" s="279" t="s">
        <v>30</v>
      </c>
      <c r="B133" s="308" t="s">
        <v>10</v>
      </c>
      <c r="C133" s="396">
        <v>6</v>
      </c>
      <c r="D133" s="264">
        <v>75</v>
      </c>
      <c r="E133" s="345">
        <f t="shared" si="1"/>
        <v>12.5</v>
      </c>
      <c r="G133" s="7"/>
    </row>
    <row r="134" spans="1:7" x14ac:dyDescent="0.2">
      <c r="A134" s="279" t="s">
        <v>490</v>
      </c>
      <c r="B134" s="308" t="s">
        <v>10</v>
      </c>
      <c r="C134" s="396">
        <v>4</v>
      </c>
      <c r="D134" s="397">
        <v>45</v>
      </c>
      <c r="E134" s="345">
        <f t="shared" si="1"/>
        <v>11.25</v>
      </c>
      <c r="G134" s="7"/>
    </row>
    <row r="135" spans="1:7" ht="13.15" customHeight="1" x14ac:dyDescent="0.2">
      <c r="A135" s="279" t="s">
        <v>491</v>
      </c>
      <c r="B135" s="308" t="s">
        <v>10</v>
      </c>
      <c r="C135" s="396">
        <v>4</v>
      </c>
      <c r="D135" s="397">
        <v>43</v>
      </c>
      <c r="E135" s="345">
        <f t="shared" si="1"/>
        <v>10.75</v>
      </c>
      <c r="G135" s="7"/>
    </row>
    <row r="136" spans="1:7" ht="13.9" customHeight="1" x14ac:dyDescent="0.2">
      <c r="A136" s="279" t="s">
        <v>492</v>
      </c>
      <c r="B136" s="308" t="s">
        <v>10</v>
      </c>
      <c r="C136" s="396">
        <v>6</v>
      </c>
      <c r="D136" s="264">
        <v>48</v>
      </c>
      <c r="E136" s="345">
        <f t="shared" si="1"/>
        <v>8</v>
      </c>
      <c r="G136" s="7"/>
    </row>
    <row r="137" spans="1:7" ht="13.15" customHeight="1" x14ac:dyDescent="0.2">
      <c r="A137" s="279" t="s">
        <v>493</v>
      </c>
      <c r="B137" s="308" t="s">
        <v>10</v>
      </c>
      <c r="C137" s="396">
        <v>6</v>
      </c>
      <c r="D137" s="264">
        <v>50</v>
      </c>
      <c r="E137" s="345">
        <f t="shared" si="1"/>
        <v>8.3333333333333339</v>
      </c>
    </row>
    <row r="138" spans="1:7" x14ac:dyDescent="0.2">
      <c r="A138" s="279" t="s">
        <v>494</v>
      </c>
      <c r="B138" s="308" t="s">
        <v>49</v>
      </c>
      <c r="C138" s="396">
        <v>6</v>
      </c>
      <c r="D138" s="264">
        <v>75</v>
      </c>
      <c r="E138" s="345">
        <f t="shared" si="1"/>
        <v>12.5</v>
      </c>
    </row>
    <row r="139" spans="1:7" s="1" customFormat="1" x14ac:dyDescent="0.2">
      <c r="A139" s="279" t="s">
        <v>94</v>
      </c>
      <c r="B139" s="308" t="s">
        <v>49</v>
      </c>
      <c r="C139" s="396">
        <v>2</v>
      </c>
      <c r="D139" s="264">
        <v>12</v>
      </c>
      <c r="E139" s="345">
        <f t="shared" si="1"/>
        <v>6</v>
      </c>
      <c r="F139" s="35"/>
      <c r="G139" s="35"/>
    </row>
    <row r="140" spans="1:7" x14ac:dyDescent="0.2">
      <c r="A140" s="279" t="s">
        <v>68</v>
      </c>
      <c r="B140" s="308" t="s">
        <v>10</v>
      </c>
      <c r="C140" s="396">
        <v>6</v>
      </c>
      <c r="D140" s="264">
        <v>55</v>
      </c>
      <c r="E140" s="345">
        <f t="shared" si="1"/>
        <v>9.1666666666666661</v>
      </c>
    </row>
    <row r="141" spans="1:7" x14ac:dyDescent="0.2">
      <c r="A141" s="346" t="s">
        <v>11</v>
      </c>
      <c r="B141" s="347" t="s">
        <v>10</v>
      </c>
      <c r="C141" s="396">
        <v>6</v>
      </c>
      <c r="D141" s="264">
        <v>33</v>
      </c>
      <c r="E141" s="345">
        <f t="shared" si="1"/>
        <v>5.5</v>
      </c>
    </row>
    <row r="142" spans="1:7" x14ac:dyDescent="0.2">
      <c r="A142" s="279" t="s">
        <v>32</v>
      </c>
      <c r="B142" s="308" t="s">
        <v>49</v>
      </c>
      <c r="C142" s="396">
        <v>0.5</v>
      </c>
      <c r="D142" s="264">
        <v>23.7</v>
      </c>
      <c r="E142" s="345">
        <f t="shared" si="1"/>
        <v>47.4</v>
      </c>
    </row>
    <row r="143" spans="1:7" ht="13.15" customHeight="1" x14ac:dyDescent="0.2">
      <c r="A143" s="279" t="s">
        <v>495</v>
      </c>
      <c r="B143" s="308" t="s">
        <v>64</v>
      </c>
      <c r="C143" s="396">
        <v>6</v>
      </c>
      <c r="D143" s="264">
        <v>15</v>
      </c>
      <c r="E143" s="345">
        <f t="shared" si="1"/>
        <v>2.5</v>
      </c>
    </row>
    <row r="144" spans="1:7" ht="13.15" customHeight="1" x14ac:dyDescent="0.2">
      <c r="A144" s="279" t="s">
        <v>62</v>
      </c>
      <c r="B144" s="308" t="s">
        <v>50</v>
      </c>
      <c r="C144" s="396">
        <v>2</v>
      </c>
      <c r="D144" s="264">
        <v>26</v>
      </c>
      <c r="E144" s="345">
        <f t="shared" si="1"/>
        <v>13</v>
      </c>
    </row>
    <row r="145" spans="1:7" ht="13.5" thickBot="1" x14ac:dyDescent="0.25">
      <c r="A145" s="14" t="s">
        <v>5</v>
      </c>
      <c r="B145" s="15" t="s">
        <v>6</v>
      </c>
      <c r="C145" s="63">
        <f>E42</f>
        <v>4</v>
      </c>
      <c r="D145" s="16">
        <f>+SUM(E132:E144)</f>
        <v>161.06666666666666</v>
      </c>
      <c r="E145" s="16">
        <f t="shared" ref="E145" si="2">C145*D145</f>
        <v>644.26666666666665</v>
      </c>
    </row>
    <row r="146" spans="1:7" ht="13.5" thickBot="1" x14ac:dyDescent="0.25">
      <c r="D146" s="114" t="s">
        <v>176</v>
      </c>
      <c r="E146" s="266">
        <f>E64</f>
        <v>0.99999999545454543</v>
      </c>
      <c r="F146" s="115">
        <f>E145*E146</f>
        <v>644.26666373818182</v>
      </c>
    </row>
    <row r="147" spans="1:7" ht="11.25" customHeight="1" x14ac:dyDescent="0.2"/>
    <row r="148" spans="1:7" ht="13.9" customHeight="1" thickBot="1" x14ac:dyDescent="0.25">
      <c r="A148" s="7" t="s">
        <v>179</v>
      </c>
    </row>
    <row r="149" spans="1:7" ht="24.75" thickBot="1" x14ac:dyDescent="0.25">
      <c r="A149" s="54" t="s">
        <v>63</v>
      </c>
      <c r="B149" s="55" t="s">
        <v>64</v>
      </c>
      <c r="C149" s="229" t="s">
        <v>225</v>
      </c>
      <c r="D149" s="56" t="s">
        <v>210</v>
      </c>
      <c r="E149" s="56" t="s">
        <v>65</v>
      </c>
      <c r="F149" s="57" t="s">
        <v>66</v>
      </c>
    </row>
    <row r="150" spans="1:7" x14ac:dyDescent="0.2">
      <c r="A150" s="257" t="s">
        <v>67</v>
      </c>
      <c r="B150" s="281" t="s">
        <v>10</v>
      </c>
      <c r="C150" s="396">
        <v>12</v>
      </c>
      <c r="D150" s="264">
        <f>D132</f>
        <v>170</v>
      </c>
      <c r="E150" s="345">
        <f t="shared" ref="E150:E156" si="3">IFERROR(D150/C150,0)</f>
        <v>14.166666666666666</v>
      </c>
    </row>
    <row r="151" spans="1:7" x14ac:dyDescent="0.2">
      <c r="A151" s="279" t="s">
        <v>30</v>
      </c>
      <c r="B151" s="308" t="s">
        <v>10</v>
      </c>
      <c r="C151" s="396">
        <v>6</v>
      </c>
      <c r="D151" s="264">
        <f>D133</f>
        <v>75</v>
      </c>
      <c r="E151" s="345">
        <f t="shared" si="3"/>
        <v>12.5</v>
      </c>
    </row>
    <row r="152" spans="1:7" x14ac:dyDescent="0.2">
      <c r="A152" s="279" t="s">
        <v>31</v>
      </c>
      <c r="B152" s="308" t="s">
        <v>10</v>
      </c>
      <c r="C152" s="396">
        <v>4</v>
      </c>
      <c r="D152" s="264">
        <f>D134</f>
        <v>45</v>
      </c>
      <c r="E152" s="345">
        <f t="shared" si="3"/>
        <v>11.25</v>
      </c>
    </row>
    <row r="153" spans="1:7" x14ac:dyDescent="0.2">
      <c r="A153" s="279" t="s">
        <v>494</v>
      </c>
      <c r="B153" s="308" t="s">
        <v>49</v>
      </c>
      <c r="C153" s="396">
        <v>4</v>
      </c>
      <c r="D153" s="264">
        <f>D138</f>
        <v>75</v>
      </c>
      <c r="E153" s="345">
        <f t="shared" si="3"/>
        <v>18.75</v>
      </c>
    </row>
    <row r="154" spans="1:7" x14ac:dyDescent="0.2">
      <c r="A154" s="279" t="s">
        <v>68</v>
      </c>
      <c r="B154" s="308" t="s">
        <v>10</v>
      </c>
      <c r="C154" s="396">
        <v>6</v>
      </c>
      <c r="D154" s="264">
        <f>D140</f>
        <v>55</v>
      </c>
      <c r="E154" s="345">
        <f t="shared" si="3"/>
        <v>9.1666666666666661</v>
      </c>
    </row>
    <row r="155" spans="1:7" x14ac:dyDescent="0.2">
      <c r="A155" s="279" t="s">
        <v>495</v>
      </c>
      <c r="B155" s="308" t="s">
        <v>64</v>
      </c>
      <c r="C155" s="396">
        <v>6</v>
      </c>
      <c r="D155" s="264">
        <f>D143</f>
        <v>15</v>
      </c>
      <c r="E155" s="345">
        <f t="shared" si="3"/>
        <v>2.5</v>
      </c>
      <c r="G155" s="7"/>
    </row>
    <row r="156" spans="1:7" x14ac:dyDescent="0.2">
      <c r="A156" s="279" t="s">
        <v>62</v>
      </c>
      <c r="B156" s="308" t="s">
        <v>50</v>
      </c>
      <c r="C156" s="396">
        <v>2</v>
      </c>
      <c r="D156" s="264">
        <f>D144</f>
        <v>26</v>
      </c>
      <c r="E156" s="345">
        <f t="shared" si="3"/>
        <v>13</v>
      </c>
      <c r="G156" s="7"/>
    </row>
    <row r="157" spans="1:7" ht="13.5" thickBot="1" x14ac:dyDescent="0.25">
      <c r="A157" s="14" t="s">
        <v>5</v>
      </c>
      <c r="B157" s="15" t="s">
        <v>6</v>
      </c>
      <c r="C157" s="63">
        <f>E44</f>
        <v>2</v>
      </c>
      <c r="D157" s="16">
        <f>+SUM(E150:E156)</f>
        <v>81.333333333333329</v>
      </c>
      <c r="E157" s="16">
        <f t="shared" ref="E157" si="4">C157*D157</f>
        <v>162.66666666666666</v>
      </c>
      <c r="G157" s="7"/>
    </row>
    <row r="158" spans="1:7" ht="13.5" thickBot="1" x14ac:dyDescent="0.25">
      <c r="D158" s="114" t="s">
        <v>176</v>
      </c>
      <c r="E158" s="266">
        <f>E98</f>
        <v>0.99999999545454543</v>
      </c>
      <c r="F158" s="115">
        <f>E157*E158</f>
        <v>162.6666659272727</v>
      </c>
      <c r="G158" s="7"/>
    </row>
    <row r="159" spans="1:7" ht="11.25" customHeight="1" thickBot="1" x14ac:dyDescent="0.25">
      <c r="G159" s="7"/>
    </row>
    <row r="160" spans="1:7" ht="13.5" thickBot="1" x14ac:dyDescent="0.25">
      <c r="A160" s="22" t="s">
        <v>180</v>
      </c>
      <c r="B160" s="26"/>
      <c r="C160" s="26"/>
      <c r="D160" s="27"/>
      <c r="E160" s="28"/>
      <c r="F160" s="19">
        <f>+F146+F158</f>
        <v>806.93332966545449</v>
      </c>
      <c r="G160" s="7"/>
    </row>
    <row r="161" spans="1:10" ht="11.25" customHeight="1" x14ac:dyDescent="0.2">
      <c r="G161" s="7"/>
    </row>
    <row r="162" spans="1:10" x14ac:dyDescent="0.2">
      <c r="A162" s="9" t="s">
        <v>55</v>
      </c>
      <c r="G162" s="7"/>
    </row>
    <row r="163" spans="1:10" x14ac:dyDescent="0.2">
      <c r="A163" s="5" t="s">
        <v>462</v>
      </c>
      <c r="G163" s="7"/>
    </row>
    <row r="164" spans="1:10" ht="13.5" thickBot="1" x14ac:dyDescent="0.25">
      <c r="A164" s="98" t="s">
        <v>47</v>
      </c>
      <c r="G164" s="7"/>
    </row>
    <row r="165" spans="1:10" ht="13.5" thickBot="1" x14ac:dyDescent="0.25">
      <c r="A165" s="54" t="s">
        <v>63</v>
      </c>
      <c r="B165" s="55" t="s">
        <v>64</v>
      </c>
      <c r="C165" s="55" t="s">
        <v>41</v>
      </c>
      <c r="D165" s="56" t="s">
        <v>210</v>
      </c>
      <c r="E165" s="56" t="s">
        <v>65</v>
      </c>
      <c r="F165" s="57" t="s">
        <v>66</v>
      </c>
      <c r="G165" s="7"/>
    </row>
    <row r="166" spans="1:10" x14ac:dyDescent="0.2">
      <c r="A166" s="11" t="s">
        <v>106</v>
      </c>
      <c r="B166" s="12" t="s">
        <v>10</v>
      </c>
      <c r="C166" s="12">
        <v>1</v>
      </c>
      <c r="D166" s="79">
        <v>250000</v>
      </c>
      <c r="E166" s="13">
        <f>C166*D166</f>
        <v>250000</v>
      </c>
      <c r="G166" s="7"/>
    </row>
    <row r="167" spans="1:10" x14ac:dyDescent="0.2">
      <c r="A167" s="14" t="s">
        <v>103</v>
      </c>
      <c r="B167" s="15" t="s">
        <v>104</v>
      </c>
      <c r="C167" s="78">
        <v>10</v>
      </c>
      <c r="D167" s="75"/>
      <c r="E167" s="16"/>
      <c r="G167" s="7"/>
    </row>
    <row r="168" spans="1:10" x14ac:dyDescent="0.2">
      <c r="A168" s="14" t="s">
        <v>187</v>
      </c>
      <c r="B168" s="15" t="s">
        <v>104</v>
      </c>
      <c r="C168" s="78"/>
      <c r="D168" s="16"/>
      <c r="E168" s="16"/>
      <c r="F168" s="18"/>
      <c r="I168" s="77"/>
      <c r="J168" s="77"/>
    </row>
    <row r="169" spans="1:10" x14ac:dyDescent="0.2">
      <c r="A169" s="14" t="s">
        <v>105</v>
      </c>
      <c r="B169" s="15" t="s">
        <v>2</v>
      </c>
      <c r="C169" s="129">
        <f>IFERROR(VLOOKUP(C167,'8. Depreciação'!A3:B17,2,FALSE),0)</f>
        <v>65.180000000000007</v>
      </c>
      <c r="D169" s="16">
        <f>E166</f>
        <v>250000</v>
      </c>
      <c r="E169" s="16">
        <f>C169*D169/100</f>
        <v>162950.00000000003</v>
      </c>
    </row>
    <row r="170" spans="1:10" ht="13.5" thickBot="1" x14ac:dyDescent="0.25">
      <c r="A170" s="236" t="s">
        <v>51</v>
      </c>
      <c r="B170" s="237" t="s">
        <v>8</v>
      </c>
      <c r="C170" s="237">
        <f>C167*12</f>
        <v>120</v>
      </c>
      <c r="D170" s="238">
        <f>IF(C168&lt;=C167,E169,0)</f>
        <v>162950.00000000003</v>
      </c>
      <c r="E170" s="238">
        <f>IFERROR(D170/C170,0)</f>
        <v>1357.916666666667</v>
      </c>
    </row>
    <row r="171" spans="1:10" ht="13.5" thickTop="1" x14ac:dyDescent="0.2">
      <c r="A171" s="257" t="s">
        <v>496</v>
      </c>
      <c r="B171" s="12" t="s">
        <v>10</v>
      </c>
      <c r="C171" s="12">
        <f>C166</f>
        <v>1</v>
      </c>
      <c r="D171" s="79">
        <v>140000</v>
      </c>
      <c r="E171" s="13">
        <f>C171*D171</f>
        <v>140000</v>
      </c>
      <c r="G171" s="7"/>
    </row>
    <row r="172" spans="1:10" x14ac:dyDescent="0.2">
      <c r="A172" s="279" t="s">
        <v>497</v>
      </c>
      <c r="B172" s="15" t="s">
        <v>104</v>
      </c>
      <c r="C172" s="78">
        <v>10</v>
      </c>
      <c r="D172" s="16"/>
      <c r="E172" s="16"/>
      <c r="G172" s="103"/>
    </row>
    <row r="173" spans="1:10" x14ac:dyDescent="0.2">
      <c r="A173" s="279" t="s">
        <v>498</v>
      </c>
      <c r="B173" s="15" t="s">
        <v>104</v>
      </c>
      <c r="C173" s="78"/>
      <c r="D173" s="16"/>
      <c r="E173" s="16"/>
      <c r="F173" s="18"/>
      <c r="I173" s="77"/>
      <c r="J173" s="77"/>
    </row>
    <row r="174" spans="1:10" x14ac:dyDescent="0.2">
      <c r="A174" s="279" t="s">
        <v>499</v>
      </c>
      <c r="B174" s="15" t="s">
        <v>2</v>
      </c>
      <c r="C174" s="130">
        <f>IFERROR(VLOOKUP(C172,'8. Depreciação'!A3:B17,2,FALSE),0)</f>
        <v>65.180000000000007</v>
      </c>
      <c r="D174" s="16">
        <f>E171</f>
        <v>140000</v>
      </c>
      <c r="E174" s="16">
        <f>C174*D174/100</f>
        <v>91252.000000000015</v>
      </c>
    </row>
    <row r="175" spans="1:10" x14ac:dyDescent="0.2">
      <c r="A175" s="94" t="s">
        <v>500</v>
      </c>
      <c r="B175" s="95" t="s">
        <v>8</v>
      </c>
      <c r="C175" s="95">
        <f>C172*12</f>
        <v>120</v>
      </c>
      <c r="D175" s="96">
        <f>IF(C173&lt;=C172,E174,0)</f>
        <v>91252.000000000015</v>
      </c>
      <c r="E175" s="96">
        <f>IFERROR(D175/C175,0)</f>
        <v>760.43333333333351</v>
      </c>
    </row>
    <row r="176" spans="1:10" x14ac:dyDescent="0.2">
      <c r="A176" s="94" t="s">
        <v>419</v>
      </c>
      <c r="B176" s="95" t="s">
        <v>407</v>
      </c>
      <c r="C176" s="95"/>
      <c r="D176" s="96"/>
      <c r="E176" s="96">
        <f>(E170+E175)*0.1</f>
        <v>211.83500000000004</v>
      </c>
    </row>
    <row r="177" spans="1:10" x14ac:dyDescent="0.2">
      <c r="A177" s="108" t="s">
        <v>228</v>
      </c>
      <c r="B177" s="109"/>
      <c r="C177" s="109"/>
      <c r="D177" s="110"/>
      <c r="E177" s="111">
        <f>E170+E175+E176</f>
        <v>2330.1850000000004</v>
      </c>
    </row>
    <row r="178" spans="1:10" ht="13.5" thickBot="1" x14ac:dyDescent="0.25">
      <c r="A178" s="94" t="s">
        <v>229</v>
      </c>
      <c r="B178" s="95" t="s">
        <v>10</v>
      </c>
      <c r="C178" s="78">
        <v>2</v>
      </c>
      <c r="D178" s="96">
        <f>E177</f>
        <v>2330.1850000000004</v>
      </c>
      <c r="E178" s="111">
        <f>C178*D178</f>
        <v>4660.3700000000008</v>
      </c>
    </row>
    <row r="179" spans="1:10" ht="13.5" thickBot="1" x14ac:dyDescent="0.25">
      <c r="A179" s="234"/>
      <c r="B179" s="234"/>
      <c r="C179" s="234"/>
      <c r="D179" s="114" t="s">
        <v>176</v>
      </c>
      <c r="E179" s="266">
        <f>$B$50</f>
        <v>0.99999999545454543</v>
      </c>
      <c r="F179" s="19">
        <f>E178*E179</f>
        <v>4660.3699788165004</v>
      </c>
    </row>
    <row r="180" spans="1:10" ht="11.25" customHeight="1" x14ac:dyDescent="0.2"/>
    <row r="181" spans="1:10" ht="13.5" thickBot="1" x14ac:dyDescent="0.25">
      <c r="A181" s="98" t="s">
        <v>111</v>
      </c>
    </row>
    <row r="182" spans="1:10" ht="13.5" thickBot="1" x14ac:dyDescent="0.25">
      <c r="A182" s="100" t="s">
        <v>63</v>
      </c>
      <c r="B182" s="101" t="s">
        <v>64</v>
      </c>
      <c r="C182" s="101" t="s">
        <v>41</v>
      </c>
      <c r="D182" s="56" t="s">
        <v>210</v>
      </c>
      <c r="E182" s="102" t="s">
        <v>65</v>
      </c>
      <c r="F182" s="57" t="s">
        <v>66</v>
      </c>
      <c r="I182" s="77"/>
      <c r="J182" s="77"/>
    </row>
    <row r="183" spans="1:10" x14ac:dyDescent="0.2">
      <c r="A183" s="14" t="s">
        <v>109</v>
      </c>
      <c r="B183" s="15" t="s">
        <v>10</v>
      </c>
      <c r="C183" s="15">
        <v>1</v>
      </c>
      <c r="D183" s="16">
        <f>D166</f>
        <v>250000</v>
      </c>
      <c r="E183" s="16">
        <f>C183*D183</f>
        <v>250000</v>
      </c>
      <c r="F183" s="18"/>
      <c r="I183" s="77"/>
      <c r="J183" s="77"/>
    </row>
    <row r="184" spans="1:10" x14ac:dyDescent="0.2">
      <c r="A184" s="14" t="s">
        <v>190</v>
      </c>
      <c r="B184" s="15" t="s">
        <v>2</v>
      </c>
      <c r="C184" s="80">
        <v>12</v>
      </c>
      <c r="D184" s="16"/>
      <c r="E184" s="16"/>
      <c r="F184" s="18"/>
      <c r="I184" s="77"/>
      <c r="J184" s="77"/>
    </row>
    <row r="185" spans="1:10" x14ac:dyDescent="0.2">
      <c r="A185" s="14" t="s">
        <v>188</v>
      </c>
      <c r="B185" s="15" t="s">
        <v>34</v>
      </c>
      <c r="C185" s="135">
        <f>IFERROR(IF(C168&lt;=C167,E166-(C169/(100*C167)*C168)*E166,E166-E169),0)</f>
        <v>250000</v>
      </c>
      <c r="D185" s="16"/>
      <c r="E185" s="16"/>
      <c r="F185" s="18"/>
      <c r="I185" s="77"/>
      <c r="J185" s="77"/>
    </row>
    <row r="186" spans="1:10" x14ac:dyDescent="0.2">
      <c r="A186" s="14" t="s">
        <v>114</v>
      </c>
      <c r="B186" s="15" t="s">
        <v>34</v>
      </c>
      <c r="C186" s="75">
        <f>IFERROR(IF(C168&gt;=C167,C185,((((C185)-(E166-E169))*(((C167-C168)+1)/(2*(C167-C168))))+(E166-E169))),0)</f>
        <v>176672.5</v>
      </c>
      <c r="D186" s="16"/>
      <c r="E186" s="16"/>
      <c r="F186" s="18"/>
      <c r="I186" s="77"/>
      <c r="J186" s="77"/>
    </row>
    <row r="187" spans="1:10" ht="13.5" thickBot="1" x14ac:dyDescent="0.25">
      <c r="A187" s="236" t="s">
        <v>115</v>
      </c>
      <c r="B187" s="237" t="s">
        <v>34</v>
      </c>
      <c r="C187" s="237"/>
      <c r="D187" s="239">
        <f>C184*C186/12/100</f>
        <v>1766.7249999999999</v>
      </c>
      <c r="E187" s="238">
        <f>D187</f>
        <v>1766.7249999999999</v>
      </c>
      <c r="F187" s="18"/>
      <c r="I187" s="77"/>
      <c r="J187" s="77"/>
    </row>
    <row r="188" spans="1:10" ht="13.5" thickTop="1" x14ac:dyDescent="0.2">
      <c r="A188" s="257" t="s">
        <v>109</v>
      </c>
      <c r="B188" s="12" t="s">
        <v>10</v>
      </c>
      <c r="C188" s="12">
        <f>C171</f>
        <v>1</v>
      </c>
      <c r="D188" s="13">
        <f>D171</f>
        <v>140000</v>
      </c>
      <c r="E188" s="13">
        <f>C188*D188</f>
        <v>140000</v>
      </c>
      <c r="F188" s="18"/>
      <c r="I188" s="77"/>
      <c r="J188" s="77"/>
    </row>
    <row r="189" spans="1:10" x14ac:dyDescent="0.2">
      <c r="A189" s="279" t="s">
        <v>190</v>
      </c>
      <c r="B189" s="15" t="s">
        <v>2</v>
      </c>
      <c r="C189" s="15">
        <f>C184</f>
        <v>12</v>
      </c>
      <c r="D189" s="16"/>
      <c r="E189" s="16"/>
      <c r="F189" s="18"/>
      <c r="I189" s="77"/>
      <c r="J189" s="77"/>
    </row>
    <row r="190" spans="1:10" x14ac:dyDescent="0.2">
      <c r="A190" s="14" t="s">
        <v>189</v>
      </c>
      <c r="B190" s="15" t="s">
        <v>34</v>
      </c>
      <c r="C190" s="135">
        <f>IFERROR(IF(C173&lt;=C172,E171-(C174/(100*C172)*C173)*E171,E171-E174),0)</f>
        <v>140000</v>
      </c>
      <c r="D190" s="16"/>
      <c r="E190" s="16"/>
      <c r="F190" s="18"/>
      <c r="I190" s="77"/>
      <c r="J190" s="77"/>
    </row>
    <row r="191" spans="1:10" x14ac:dyDescent="0.2">
      <c r="A191" s="279" t="s">
        <v>501</v>
      </c>
      <c r="B191" s="15" t="s">
        <v>34</v>
      </c>
      <c r="C191" s="75">
        <f>IFERROR(IF(C173&gt;=C172,C190,((((C190)-(E171-E174))*(((C172-C173)+1)/(2*(C172-C173))))+(E171-E174))),0)</f>
        <v>98936.6</v>
      </c>
      <c r="D191" s="16"/>
      <c r="E191" s="16"/>
      <c r="F191" s="18"/>
      <c r="I191" s="77"/>
      <c r="J191" s="77"/>
    </row>
    <row r="192" spans="1:10" x14ac:dyDescent="0.2">
      <c r="A192" s="94" t="s">
        <v>502</v>
      </c>
      <c r="B192" s="95" t="s">
        <v>34</v>
      </c>
      <c r="C192" s="95"/>
      <c r="D192" s="104">
        <f>C189*C191/12/100</f>
        <v>989.36600000000021</v>
      </c>
      <c r="E192" s="96">
        <f>D192</f>
        <v>989.36600000000021</v>
      </c>
      <c r="F192" s="18"/>
      <c r="I192" s="77"/>
      <c r="J192" s="77"/>
    </row>
    <row r="193" spans="1:10" x14ac:dyDescent="0.2">
      <c r="A193" s="108" t="s">
        <v>228</v>
      </c>
      <c r="B193" s="109"/>
      <c r="C193" s="109"/>
      <c r="D193" s="110"/>
      <c r="E193" s="111">
        <f>E187+E192</f>
        <v>2756.0910000000003</v>
      </c>
      <c r="F193" s="18"/>
      <c r="I193" s="77"/>
      <c r="J193" s="77"/>
    </row>
    <row r="194" spans="1:10" ht="13.5" thickBot="1" x14ac:dyDescent="0.25">
      <c r="A194" s="94" t="s">
        <v>229</v>
      </c>
      <c r="B194" s="95" t="s">
        <v>10</v>
      </c>
      <c r="C194" s="15">
        <f>C178</f>
        <v>2</v>
      </c>
      <c r="D194" s="96">
        <f>E193</f>
        <v>2756.0910000000003</v>
      </c>
      <c r="E194" s="111">
        <f>C194*D194</f>
        <v>5512.1820000000007</v>
      </c>
      <c r="F194" s="18"/>
      <c r="I194" s="77"/>
      <c r="J194" s="77"/>
    </row>
    <row r="195" spans="1:10" ht="13.5" thickBot="1" x14ac:dyDescent="0.25">
      <c r="C195" s="17"/>
      <c r="D195" s="114" t="s">
        <v>176</v>
      </c>
      <c r="E195" s="266">
        <f>$B$50</f>
        <v>0.99999999545454543</v>
      </c>
      <c r="F195" s="19">
        <f>E194*E195</f>
        <v>5512.1819749446277</v>
      </c>
      <c r="I195" s="77"/>
      <c r="J195" s="77"/>
    </row>
    <row r="196" spans="1:10" x14ac:dyDescent="0.2">
      <c r="C196" s="17"/>
      <c r="D196" s="114"/>
      <c r="E196" s="312"/>
      <c r="F196" s="313"/>
      <c r="I196" s="77"/>
      <c r="J196" s="77"/>
    </row>
    <row r="197" spans="1:10" ht="13.5" thickBot="1" x14ac:dyDescent="0.25">
      <c r="A197" s="7" t="s">
        <v>52</v>
      </c>
      <c r="I197" s="77"/>
      <c r="J197" s="77"/>
    </row>
    <row r="198" spans="1:10" ht="13.5" thickBot="1" x14ac:dyDescent="0.25">
      <c r="A198" s="54" t="s">
        <v>63</v>
      </c>
      <c r="B198" s="55" t="s">
        <v>64</v>
      </c>
      <c r="C198" s="55" t="s">
        <v>41</v>
      </c>
      <c r="D198" s="56" t="s">
        <v>210</v>
      </c>
      <c r="E198" s="56" t="s">
        <v>65</v>
      </c>
      <c r="F198" s="57" t="s">
        <v>66</v>
      </c>
      <c r="I198" s="77"/>
      <c r="J198" s="77"/>
    </row>
    <row r="199" spans="1:10" x14ac:dyDescent="0.2">
      <c r="A199" s="11" t="s">
        <v>12</v>
      </c>
      <c r="B199" s="12" t="s">
        <v>10</v>
      </c>
      <c r="C199" s="13">
        <f>C178</f>
        <v>2</v>
      </c>
      <c r="D199" s="13">
        <f>0.01*(C185)</f>
        <v>2500</v>
      </c>
      <c r="E199" s="13">
        <f>C199*D199</f>
        <v>5000</v>
      </c>
      <c r="I199" s="77"/>
      <c r="J199" s="77"/>
    </row>
    <row r="200" spans="1:10" x14ac:dyDescent="0.2">
      <c r="A200" s="14" t="s">
        <v>175</v>
      </c>
      <c r="B200" s="15" t="s">
        <v>10</v>
      </c>
      <c r="C200" s="13">
        <f>C178</f>
        <v>2</v>
      </c>
      <c r="D200" s="81">
        <v>109.27</v>
      </c>
      <c r="E200" s="16">
        <f>C200*D200</f>
        <v>218.54</v>
      </c>
      <c r="I200" s="77"/>
      <c r="J200" s="77"/>
    </row>
    <row r="201" spans="1:10" x14ac:dyDescent="0.2">
      <c r="A201" s="14" t="s">
        <v>13</v>
      </c>
      <c r="B201" s="15" t="s">
        <v>10</v>
      </c>
      <c r="C201" s="13">
        <f>C178</f>
        <v>2</v>
      </c>
      <c r="D201" s="81">
        <v>3600</v>
      </c>
      <c r="E201" s="16">
        <f>C201*D201</f>
        <v>7200</v>
      </c>
      <c r="F201" s="29"/>
      <c r="I201" s="77"/>
      <c r="J201" s="77"/>
    </row>
    <row r="202" spans="1:10" ht="13.5" thickBot="1" x14ac:dyDescent="0.25">
      <c r="A202" s="94" t="s">
        <v>14</v>
      </c>
      <c r="B202" s="95" t="s">
        <v>8</v>
      </c>
      <c r="C202" s="95">
        <v>12</v>
      </c>
      <c r="D202" s="96">
        <f>SUM(E199:E201)</f>
        <v>12418.54</v>
      </c>
      <c r="E202" s="96">
        <f>D202/C202</f>
        <v>1034.8783333333333</v>
      </c>
      <c r="I202" s="77"/>
      <c r="J202" s="77"/>
    </row>
    <row r="203" spans="1:10" ht="13.5" thickBot="1" x14ac:dyDescent="0.25">
      <c r="D203" s="114" t="s">
        <v>176</v>
      </c>
      <c r="E203" s="266">
        <f>E64</f>
        <v>0.99999999545454543</v>
      </c>
      <c r="F203" s="115">
        <f>E202*E203</f>
        <v>1034.8783286293408</v>
      </c>
      <c r="I203" s="77"/>
      <c r="J203" s="77"/>
    </row>
    <row r="204" spans="1:10" ht="11.25" customHeight="1" x14ac:dyDescent="0.2">
      <c r="I204" s="77"/>
      <c r="J204" s="77"/>
    </row>
    <row r="205" spans="1:10" x14ac:dyDescent="0.2">
      <c r="A205" s="7" t="s">
        <v>53</v>
      </c>
      <c r="B205" s="30"/>
      <c r="I205" s="77"/>
      <c r="J205" s="77"/>
    </row>
    <row r="206" spans="1:10" ht="13.5" thickBot="1" x14ac:dyDescent="0.25">
      <c r="A206" s="94" t="s">
        <v>118</v>
      </c>
      <c r="B206" s="348">
        <f>'7.Roteiro'!P16</f>
        <v>2071.333242857143</v>
      </c>
      <c r="I206" s="77"/>
      <c r="J206" s="77"/>
    </row>
    <row r="207" spans="1:10" ht="13.5" thickBot="1" x14ac:dyDescent="0.25">
      <c r="A207" s="54" t="s">
        <v>63</v>
      </c>
      <c r="B207" s="55" t="s">
        <v>64</v>
      </c>
      <c r="C207" s="55" t="s">
        <v>227</v>
      </c>
      <c r="D207" s="56" t="s">
        <v>210</v>
      </c>
      <c r="E207" s="56" t="s">
        <v>65</v>
      </c>
      <c r="F207" s="57" t="s">
        <v>66</v>
      </c>
      <c r="I207" s="77"/>
      <c r="J207" s="77"/>
    </row>
    <row r="208" spans="1:10" x14ac:dyDescent="0.2">
      <c r="A208" s="11" t="s">
        <v>15</v>
      </c>
      <c r="B208" s="12" t="s">
        <v>16</v>
      </c>
      <c r="C208" s="88">
        <v>2.1</v>
      </c>
      <c r="D208" s="89">
        <v>6.05</v>
      </c>
      <c r="E208" s="13"/>
      <c r="I208" s="77"/>
      <c r="J208" s="77"/>
    </row>
    <row r="209" spans="1:10" x14ac:dyDescent="0.2">
      <c r="A209" s="14" t="s">
        <v>17</v>
      </c>
      <c r="B209" s="15" t="s">
        <v>18</v>
      </c>
      <c r="C209" s="86">
        <f>B206</f>
        <v>2071.333242857143</v>
      </c>
      <c r="D209" s="233">
        <f>IFERROR(+D208/C208,"-")</f>
        <v>2.8809523809523809</v>
      </c>
      <c r="E209" s="16">
        <f>IFERROR(C209*D209,"-")</f>
        <v>5967.4124377551025</v>
      </c>
      <c r="I209" s="77"/>
      <c r="J209" s="77"/>
    </row>
    <row r="210" spans="1:10" x14ac:dyDescent="0.2">
      <c r="A210" s="14" t="s">
        <v>211</v>
      </c>
      <c r="B210" s="15" t="s">
        <v>19</v>
      </c>
      <c r="C210" s="91">
        <v>1.33</v>
      </c>
      <c r="D210" s="81">
        <v>28</v>
      </c>
      <c r="E210" s="16"/>
      <c r="G210" s="103"/>
      <c r="I210" s="77"/>
      <c r="J210" s="77"/>
    </row>
    <row r="211" spans="1:10" x14ac:dyDescent="0.2">
      <c r="A211" s="14" t="s">
        <v>20</v>
      </c>
      <c r="B211" s="15" t="s">
        <v>18</v>
      </c>
      <c r="C211" s="86">
        <f>C209</f>
        <v>2071.333242857143</v>
      </c>
      <c r="D211" s="230">
        <f>+C210*D210/1000</f>
        <v>3.7240000000000002E-2</v>
      </c>
      <c r="E211" s="16">
        <f>C211*D211</f>
        <v>77.136449964000008</v>
      </c>
      <c r="G211" s="103"/>
      <c r="I211" s="77"/>
      <c r="J211" s="77"/>
    </row>
    <row r="212" spans="1:10" x14ac:dyDescent="0.2">
      <c r="A212" s="14" t="s">
        <v>212</v>
      </c>
      <c r="B212" s="15" t="s">
        <v>19</v>
      </c>
      <c r="C212" s="91">
        <v>0.2</v>
      </c>
      <c r="D212" s="81">
        <v>32</v>
      </c>
      <c r="E212" s="16"/>
      <c r="G212" s="103"/>
      <c r="I212" s="77"/>
      <c r="J212" s="77"/>
    </row>
    <row r="213" spans="1:10" x14ac:dyDescent="0.2">
      <c r="A213" s="14" t="s">
        <v>21</v>
      </c>
      <c r="B213" s="15" t="s">
        <v>18</v>
      </c>
      <c r="C213" s="86">
        <f>C209</f>
        <v>2071.333242857143</v>
      </c>
      <c r="D213" s="230">
        <f>+C212*D212/1000</f>
        <v>6.4000000000000003E-3</v>
      </c>
      <c r="E213" s="16">
        <f>C213*D213</f>
        <v>13.256532754285717</v>
      </c>
      <c r="G213" s="103"/>
      <c r="I213" s="77"/>
      <c r="J213" s="77"/>
    </row>
    <row r="214" spans="1:10" x14ac:dyDescent="0.2">
      <c r="A214" s="279" t="s">
        <v>405</v>
      </c>
      <c r="B214" s="15" t="s">
        <v>19</v>
      </c>
      <c r="C214" s="91">
        <f>1000/C208*0.05</f>
        <v>23.80952380952381</v>
      </c>
      <c r="D214" s="81">
        <v>3.5</v>
      </c>
      <c r="E214" s="16"/>
      <c r="G214" s="103"/>
      <c r="I214" s="77"/>
      <c r="J214" s="77"/>
    </row>
    <row r="215" spans="1:10" x14ac:dyDescent="0.2">
      <c r="A215" s="279" t="s">
        <v>404</v>
      </c>
      <c r="B215" s="15" t="s">
        <v>18</v>
      </c>
      <c r="C215" s="86">
        <f>C209</f>
        <v>2071.333242857143</v>
      </c>
      <c r="D215" s="230">
        <f>+C214*D214/1000</f>
        <v>8.3333333333333343E-2</v>
      </c>
      <c r="E215" s="16">
        <f>C215*D215</f>
        <v>172.6111035714286</v>
      </c>
      <c r="G215" s="103"/>
      <c r="I215" s="77"/>
      <c r="J215" s="77"/>
    </row>
    <row r="216" spans="1:10" x14ac:dyDescent="0.2">
      <c r="A216" s="14" t="s">
        <v>213</v>
      </c>
      <c r="B216" s="15" t="s">
        <v>19</v>
      </c>
      <c r="C216" s="91">
        <v>1</v>
      </c>
      <c r="D216" s="81">
        <v>31</v>
      </c>
      <c r="E216" s="16"/>
      <c r="G216" s="103"/>
      <c r="I216" s="77"/>
      <c r="J216" s="77"/>
    </row>
    <row r="217" spans="1:10" x14ac:dyDescent="0.2">
      <c r="A217" s="14" t="s">
        <v>22</v>
      </c>
      <c r="B217" s="15" t="s">
        <v>18</v>
      </c>
      <c r="C217" s="86">
        <f>C209</f>
        <v>2071.333242857143</v>
      </c>
      <c r="D217" s="230">
        <f>+C216*D216/1000</f>
        <v>3.1E-2</v>
      </c>
      <c r="E217" s="16">
        <f>C217*D217</f>
        <v>64.211330528571438</v>
      </c>
      <c r="G217" s="103"/>
      <c r="I217" s="77"/>
      <c r="J217" s="77"/>
    </row>
    <row r="218" spans="1:10" x14ac:dyDescent="0.2">
      <c r="A218" s="14" t="s">
        <v>23</v>
      </c>
      <c r="B218" s="15" t="s">
        <v>24</v>
      </c>
      <c r="C218" s="91">
        <v>1</v>
      </c>
      <c r="D218" s="81">
        <v>25</v>
      </c>
      <c r="E218" s="16"/>
      <c r="G218" s="103"/>
      <c r="I218" s="77"/>
      <c r="J218" s="77"/>
    </row>
    <row r="219" spans="1:10" x14ac:dyDescent="0.2">
      <c r="A219" s="14" t="s">
        <v>25</v>
      </c>
      <c r="B219" s="15" t="s">
        <v>18</v>
      </c>
      <c r="C219" s="86">
        <f>C209</f>
        <v>2071.333242857143</v>
      </c>
      <c r="D219" s="230">
        <f>+C218*D218/1000</f>
        <v>2.5000000000000001E-2</v>
      </c>
      <c r="E219" s="16">
        <f>C219*D219</f>
        <v>51.783331071428577</v>
      </c>
      <c r="G219" s="103"/>
      <c r="I219" s="77"/>
      <c r="J219" s="77"/>
    </row>
    <row r="220" spans="1:10" ht="13.5" thickBot="1" x14ac:dyDescent="0.25">
      <c r="A220" s="94" t="s">
        <v>226</v>
      </c>
      <c r="B220" s="95" t="s">
        <v>119</v>
      </c>
      <c r="C220" s="231"/>
      <c r="D220" s="232">
        <f>IFERROR(D209+D211+D213+D215+D217+D219,0)</f>
        <v>3.0639257142857148</v>
      </c>
      <c r="E220" s="16"/>
      <c r="G220" s="103"/>
      <c r="I220" s="77"/>
      <c r="J220" s="77"/>
    </row>
    <row r="221" spans="1:10" ht="13.5" thickBot="1" x14ac:dyDescent="0.25">
      <c r="F221" s="19">
        <f>SUM(E208:E219)</f>
        <v>6346.4111856448171</v>
      </c>
      <c r="I221" s="77"/>
      <c r="J221" s="77"/>
    </row>
    <row r="222" spans="1:10" ht="11.25" customHeight="1" x14ac:dyDescent="0.2">
      <c r="I222" s="77"/>
      <c r="J222" s="77"/>
    </row>
    <row r="223" spans="1:10" ht="13.5" thickBot="1" x14ac:dyDescent="0.25">
      <c r="A223" s="7" t="s">
        <v>54</v>
      </c>
      <c r="I223" s="77"/>
      <c r="J223" s="77"/>
    </row>
    <row r="224" spans="1:10" ht="13.5" thickBot="1" x14ac:dyDescent="0.25">
      <c r="A224" s="54" t="s">
        <v>63</v>
      </c>
      <c r="B224" s="55" t="s">
        <v>64</v>
      </c>
      <c r="C224" s="55" t="s">
        <v>41</v>
      </c>
      <c r="D224" s="56" t="s">
        <v>210</v>
      </c>
      <c r="E224" s="56" t="s">
        <v>65</v>
      </c>
      <c r="F224" s="57" t="s">
        <v>66</v>
      </c>
      <c r="I224" s="77"/>
      <c r="J224" s="77"/>
    </row>
    <row r="225" spans="1:10" ht="13.5" thickBot="1" x14ac:dyDescent="0.25">
      <c r="A225" s="11" t="s">
        <v>117</v>
      </c>
      <c r="B225" s="12" t="s">
        <v>119</v>
      </c>
      <c r="C225" s="86">
        <f>C209</f>
        <v>2071.333242857143</v>
      </c>
      <c r="D225" s="79">
        <v>1</v>
      </c>
      <c r="E225" s="13">
        <f>C225*D225</f>
        <v>2071.333242857143</v>
      </c>
      <c r="I225" s="77"/>
      <c r="J225" s="77"/>
    </row>
    <row r="226" spans="1:10" ht="13.5" thickBot="1" x14ac:dyDescent="0.25">
      <c r="F226" s="19">
        <f>E225</f>
        <v>2071.333242857143</v>
      </c>
      <c r="I226" s="77"/>
      <c r="J226" s="77"/>
    </row>
    <row r="227" spans="1:10" ht="11.25" customHeight="1" x14ac:dyDescent="0.2">
      <c r="I227" s="77"/>
      <c r="J227" s="77"/>
    </row>
    <row r="228" spans="1:10" ht="13.5" thickBot="1" x14ac:dyDescent="0.25">
      <c r="A228" s="7" t="s">
        <v>61</v>
      </c>
      <c r="I228" s="77"/>
      <c r="J228" s="77"/>
    </row>
    <row r="229" spans="1:10" ht="13.5" thickBot="1" x14ac:dyDescent="0.25">
      <c r="A229" s="54" t="s">
        <v>63</v>
      </c>
      <c r="B229" s="55" t="s">
        <v>64</v>
      </c>
      <c r="C229" s="55" t="s">
        <v>41</v>
      </c>
      <c r="D229" s="56" t="s">
        <v>210</v>
      </c>
      <c r="E229" s="56" t="s">
        <v>65</v>
      </c>
      <c r="F229" s="57" t="s">
        <v>66</v>
      </c>
      <c r="I229" s="77"/>
      <c r="J229" s="77"/>
    </row>
    <row r="230" spans="1:10" x14ac:dyDescent="0.2">
      <c r="A230" s="257" t="s">
        <v>420</v>
      </c>
      <c r="B230" s="12" t="s">
        <v>10</v>
      </c>
      <c r="C230" s="87">
        <v>6</v>
      </c>
      <c r="D230" s="79">
        <v>2800</v>
      </c>
      <c r="E230" s="13">
        <f>C230*D230</f>
        <v>16800</v>
      </c>
      <c r="I230" s="77"/>
      <c r="J230" s="77"/>
    </row>
    <row r="231" spans="1:10" x14ac:dyDescent="0.2">
      <c r="A231" s="11" t="s">
        <v>120</v>
      </c>
      <c r="B231" s="12" t="s">
        <v>10</v>
      </c>
      <c r="C231" s="87">
        <v>2</v>
      </c>
      <c r="D231" s="97"/>
      <c r="E231" s="13"/>
      <c r="I231" s="77"/>
      <c r="J231" s="77"/>
    </row>
    <row r="232" spans="1:10" x14ac:dyDescent="0.2">
      <c r="A232" s="11" t="s">
        <v>70</v>
      </c>
      <c r="B232" s="12" t="s">
        <v>10</v>
      </c>
      <c r="C232" s="13">
        <f>C230*C231</f>
        <v>12</v>
      </c>
      <c r="D232" s="79">
        <v>850</v>
      </c>
      <c r="E232" s="13">
        <f>C232*D232</f>
        <v>10200</v>
      </c>
      <c r="I232" s="77"/>
      <c r="J232" s="77"/>
    </row>
    <row r="233" spans="1:10" x14ac:dyDescent="0.2">
      <c r="A233" s="279" t="s">
        <v>408</v>
      </c>
      <c r="B233" s="15" t="s">
        <v>26</v>
      </c>
      <c r="C233" s="90">
        <v>70000</v>
      </c>
      <c r="D233" s="16">
        <f>E230+E232</f>
        <v>27000</v>
      </c>
      <c r="E233" s="16">
        <f>IFERROR(D233/C233,"-")</f>
        <v>0.38571428571428573</v>
      </c>
      <c r="I233" s="77"/>
      <c r="J233" s="77"/>
    </row>
    <row r="234" spans="1:10" ht="13.5" thickBot="1" x14ac:dyDescent="0.25">
      <c r="A234" s="14" t="s">
        <v>56</v>
      </c>
      <c r="B234" s="15" t="s">
        <v>18</v>
      </c>
      <c r="C234" s="86">
        <f>B206</f>
        <v>2071.333242857143</v>
      </c>
      <c r="D234" s="16">
        <f>E233</f>
        <v>0.38571428571428573</v>
      </c>
      <c r="E234" s="16">
        <f>IFERROR(C234*D234,0)</f>
        <v>798.94282224489803</v>
      </c>
      <c r="I234" s="77"/>
      <c r="J234" s="77"/>
    </row>
    <row r="235" spans="1:10" ht="13.5" thickBot="1" x14ac:dyDescent="0.25">
      <c r="F235" s="19">
        <f>E234</f>
        <v>798.94282224489803</v>
      </c>
      <c r="I235" s="77"/>
      <c r="J235" s="77"/>
    </row>
    <row r="236" spans="1:10" ht="11.25" customHeight="1" thickBot="1" x14ac:dyDescent="0.25">
      <c r="I236" s="77"/>
      <c r="J236" s="77"/>
    </row>
    <row r="237" spans="1:10" ht="13.5" thickBot="1" x14ac:dyDescent="0.25">
      <c r="A237" s="22" t="s">
        <v>202</v>
      </c>
      <c r="B237" s="23"/>
      <c r="C237" s="23"/>
      <c r="D237" s="24"/>
      <c r="E237" s="25"/>
      <c r="F237" s="19">
        <f>+SUM(F166:F236)</f>
        <v>20424.117533137331</v>
      </c>
      <c r="G237" s="7"/>
    </row>
    <row r="238" spans="1:10" ht="11.25" customHeight="1" x14ac:dyDescent="0.2">
      <c r="G238" s="7"/>
    </row>
    <row r="239" spans="1:10" ht="13.5" thickBot="1" x14ac:dyDescent="0.25">
      <c r="A239" s="9" t="s">
        <v>506</v>
      </c>
      <c r="B239" s="9"/>
      <c r="C239" s="9"/>
      <c r="D239" s="32"/>
      <c r="E239" s="32"/>
      <c r="F239" s="31"/>
      <c r="G239" s="7"/>
    </row>
    <row r="240" spans="1:10" ht="13.5" thickBot="1" x14ac:dyDescent="0.25">
      <c r="A240" s="54" t="s">
        <v>63</v>
      </c>
      <c r="B240" s="55" t="s">
        <v>64</v>
      </c>
      <c r="C240" s="55" t="s">
        <v>41</v>
      </c>
      <c r="D240" s="56" t="s">
        <v>210</v>
      </c>
      <c r="E240" s="56" t="s">
        <v>65</v>
      </c>
      <c r="F240" s="57" t="s">
        <v>66</v>
      </c>
      <c r="G240" s="7"/>
    </row>
    <row r="241" spans="1:7" x14ac:dyDescent="0.2">
      <c r="A241" s="14" t="s">
        <v>71</v>
      </c>
      <c r="B241" s="15" t="s">
        <v>10</v>
      </c>
      <c r="C241" s="92">
        <v>0.16666666666666666</v>
      </c>
      <c r="D241" s="79">
        <v>50</v>
      </c>
      <c r="E241" s="16">
        <f>C241*D241</f>
        <v>8.3333333333333321</v>
      </c>
      <c r="F241" s="50"/>
      <c r="G241" s="7"/>
    </row>
    <row r="242" spans="1:7" x14ac:dyDescent="0.2">
      <c r="A242" s="14" t="s">
        <v>28</v>
      </c>
      <c r="B242" s="15" t="s">
        <v>10</v>
      </c>
      <c r="C242" s="92">
        <v>0.16666666666666666</v>
      </c>
      <c r="D242" s="79">
        <v>30</v>
      </c>
      <c r="E242" s="16">
        <f>C242*D242</f>
        <v>5</v>
      </c>
      <c r="F242" s="50"/>
      <c r="G242" s="7"/>
    </row>
    <row r="243" spans="1:7" x14ac:dyDescent="0.2">
      <c r="A243" s="14" t="s">
        <v>29</v>
      </c>
      <c r="B243" s="15" t="s">
        <v>10</v>
      </c>
      <c r="C243" s="92">
        <v>0.33333333333333331</v>
      </c>
      <c r="D243" s="79">
        <v>25</v>
      </c>
      <c r="E243" s="16">
        <f>C243*D243</f>
        <v>8.3333333333333321</v>
      </c>
      <c r="F243" s="50"/>
      <c r="G243" s="7"/>
    </row>
    <row r="244" spans="1:7" x14ac:dyDescent="0.2">
      <c r="A244" s="279" t="s">
        <v>422</v>
      </c>
      <c r="B244" s="308" t="s">
        <v>10</v>
      </c>
      <c r="C244" s="353">
        <v>1</v>
      </c>
      <c r="D244" s="264">
        <v>300</v>
      </c>
      <c r="E244" s="350">
        <f t="shared" ref="E244" si="5">(C244*D244)/12</f>
        <v>25</v>
      </c>
      <c r="F244" s="50"/>
      <c r="G244" s="7"/>
    </row>
    <row r="245" spans="1:7" x14ac:dyDescent="0.2">
      <c r="A245" s="279" t="s">
        <v>423</v>
      </c>
      <c r="B245" s="49" t="s">
        <v>119</v>
      </c>
      <c r="C245" s="351">
        <f>15*C103</f>
        <v>375</v>
      </c>
      <c r="D245" s="331">
        <v>2.2000000000000002</v>
      </c>
      <c r="E245" s="350">
        <f>+D245*C245</f>
        <v>825.00000000000011</v>
      </c>
      <c r="F245" s="50"/>
      <c r="G245" s="7"/>
    </row>
    <row r="246" spans="1:7" ht="13.5" thickBot="1" x14ac:dyDescent="0.25">
      <c r="A246" s="279" t="s">
        <v>505</v>
      </c>
      <c r="B246" s="308" t="s">
        <v>407</v>
      </c>
      <c r="C246" s="352">
        <v>1</v>
      </c>
      <c r="D246" s="79">
        <v>300</v>
      </c>
      <c r="E246" s="16">
        <f>C246*D246</f>
        <v>300</v>
      </c>
      <c r="F246" s="50"/>
      <c r="G246" s="7"/>
    </row>
    <row r="247" spans="1:7" ht="13.5" thickBot="1" x14ac:dyDescent="0.25">
      <c r="A247" s="9"/>
      <c r="B247" s="9"/>
      <c r="C247" s="9"/>
      <c r="D247" s="9"/>
      <c r="E247" s="32"/>
      <c r="F247" s="19">
        <f>SUM(E241:E246)</f>
        <v>1171.6666666666667</v>
      </c>
      <c r="G247" s="7"/>
    </row>
    <row r="248" spans="1:7" ht="11.25" customHeight="1" thickBot="1" x14ac:dyDescent="0.25">
      <c r="G248" s="7"/>
    </row>
    <row r="249" spans="1:7" ht="13.5" thickBot="1" x14ac:dyDescent="0.25">
      <c r="A249" s="22" t="s">
        <v>203</v>
      </c>
      <c r="B249" s="23"/>
      <c r="C249" s="23"/>
      <c r="D249" s="24"/>
      <c r="E249" s="25"/>
      <c r="F249" s="19">
        <f>+F247</f>
        <v>1171.6666666666667</v>
      </c>
      <c r="G249" s="7"/>
    </row>
    <row r="250" spans="1:7" ht="11.25" customHeight="1" x14ac:dyDescent="0.2">
      <c r="G250" s="7"/>
    </row>
    <row r="251" spans="1:7" ht="13.5" thickBot="1" x14ac:dyDescent="0.25">
      <c r="A251" s="9" t="s">
        <v>74</v>
      </c>
      <c r="B251" s="9"/>
      <c r="C251" s="9"/>
      <c r="D251" s="32"/>
      <c r="E251" s="32"/>
      <c r="F251" s="31"/>
    </row>
    <row r="252" spans="1:7" ht="13.5" thickBot="1" x14ac:dyDescent="0.25">
      <c r="A252" s="54" t="s">
        <v>63</v>
      </c>
      <c r="B252" s="55" t="s">
        <v>64</v>
      </c>
      <c r="C252" s="55" t="s">
        <v>41</v>
      </c>
      <c r="D252" s="56" t="s">
        <v>210</v>
      </c>
      <c r="E252" s="56" t="s">
        <v>65</v>
      </c>
      <c r="F252" s="57" t="s">
        <v>66</v>
      </c>
    </row>
    <row r="253" spans="1:7" x14ac:dyDescent="0.2">
      <c r="A253" s="14" t="s">
        <v>200</v>
      </c>
      <c r="B253" s="398" t="s">
        <v>58</v>
      </c>
      <c r="C253" s="305">
        <v>2</v>
      </c>
      <c r="D253" s="81">
        <v>650</v>
      </c>
      <c r="E253" s="16">
        <f>+D253*C253</f>
        <v>1300</v>
      </c>
      <c r="F253" s="50"/>
    </row>
    <row r="254" spans="1:7" x14ac:dyDescent="0.2">
      <c r="A254" s="14" t="s">
        <v>60</v>
      </c>
      <c r="B254" s="398" t="s">
        <v>8</v>
      </c>
      <c r="C254" s="15">
        <v>60</v>
      </c>
      <c r="D254" s="74">
        <f>SUM(E253:E253)</f>
        <v>1300</v>
      </c>
      <c r="E254" s="74">
        <f>+D254/C254</f>
        <v>21.666666666666668</v>
      </c>
      <c r="F254" s="50"/>
    </row>
    <row r="255" spans="1:7" x14ac:dyDescent="0.2">
      <c r="A255" s="14" t="s">
        <v>201</v>
      </c>
      <c r="B255" s="95" t="s">
        <v>10</v>
      </c>
      <c r="C255" s="305">
        <v>2</v>
      </c>
      <c r="D255" s="81">
        <v>130</v>
      </c>
      <c r="E255" s="16">
        <f>C255*D255</f>
        <v>260</v>
      </c>
      <c r="F255" s="50"/>
    </row>
    <row r="256" spans="1:7" ht="13.5" thickBot="1" x14ac:dyDescent="0.25">
      <c r="A256" s="14" t="s">
        <v>38</v>
      </c>
      <c r="B256" s="398" t="s">
        <v>8</v>
      </c>
      <c r="C256" s="15">
        <v>1</v>
      </c>
      <c r="D256" s="74">
        <f>+E255</f>
        <v>260</v>
      </c>
      <c r="E256" s="74">
        <f>+D256/C256</f>
        <v>260</v>
      </c>
      <c r="F256" s="50"/>
    </row>
    <row r="257" spans="1:7" ht="13.5" thickBot="1" x14ac:dyDescent="0.25">
      <c r="A257" s="10"/>
      <c r="B257" s="10"/>
      <c r="C257" s="10"/>
      <c r="D257" s="114" t="s">
        <v>176</v>
      </c>
      <c r="E257" s="266">
        <f>E98</f>
        <v>0.99999999545454543</v>
      </c>
      <c r="F257" s="19">
        <f>(E254+E256)*E257</f>
        <v>281.66666538636366</v>
      </c>
    </row>
    <row r="258" spans="1:7" s="48" customFormat="1" ht="11.25" customHeight="1" thickBot="1" x14ac:dyDescent="0.25">
      <c r="A258" s="7"/>
      <c r="B258" s="7"/>
      <c r="C258" s="7"/>
      <c r="D258" s="8"/>
      <c r="E258" s="8"/>
      <c r="F258" s="8"/>
      <c r="G258" s="76"/>
    </row>
    <row r="259" spans="1:7" ht="13.5" thickBot="1" x14ac:dyDescent="0.25">
      <c r="A259" s="22" t="s">
        <v>199</v>
      </c>
      <c r="B259" s="23"/>
      <c r="C259" s="23"/>
      <c r="D259" s="24"/>
      <c r="E259" s="25"/>
      <c r="F259" s="19">
        <f>+F257</f>
        <v>281.66666538636366</v>
      </c>
    </row>
    <row r="260" spans="1:7" ht="11.25" customHeight="1" thickBot="1" x14ac:dyDescent="0.25"/>
    <row r="261" spans="1:7" ht="17.25" customHeight="1" thickBot="1" x14ac:dyDescent="0.25">
      <c r="A261" s="22" t="s">
        <v>204</v>
      </c>
      <c r="B261" s="26"/>
      <c r="C261" s="26"/>
      <c r="D261" s="27"/>
      <c r="E261" s="28"/>
      <c r="F261" s="20">
        <f>+F127+F160+F237+F249+F259</f>
        <v>56733.679525146552</v>
      </c>
    </row>
    <row r="262" spans="1:7" ht="11.25" customHeight="1" x14ac:dyDescent="0.2"/>
    <row r="263" spans="1:7" ht="13.5" thickBot="1" x14ac:dyDescent="0.25">
      <c r="A263" s="9" t="s">
        <v>89</v>
      </c>
    </row>
    <row r="264" spans="1:7" ht="13.5" thickBot="1" x14ac:dyDescent="0.25">
      <c r="A264" s="54" t="s">
        <v>63</v>
      </c>
      <c r="B264" s="55" t="s">
        <v>64</v>
      </c>
      <c r="C264" s="55" t="s">
        <v>41</v>
      </c>
      <c r="D264" s="56" t="s">
        <v>210</v>
      </c>
      <c r="E264" s="56" t="s">
        <v>65</v>
      </c>
      <c r="F264" s="57" t="s">
        <v>66</v>
      </c>
    </row>
    <row r="265" spans="1:7" ht="13.5" thickBot="1" x14ac:dyDescent="0.25">
      <c r="A265" s="11" t="s">
        <v>37</v>
      </c>
      <c r="B265" s="12" t="s">
        <v>2</v>
      </c>
      <c r="C265" s="129">
        <f>'4.BDI '!C21*100</f>
        <v>25.580000000000002</v>
      </c>
      <c r="D265" s="13">
        <f>+F261</f>
        <v>56733.679525146552</v>
      </c>
      <c r="E265" s="13">
        <f>C265*D265/100</f>
        <v>14512.475222532488</v>
      </c>
    </row>
    <row r="266" spans="1:7" ht="13.5" thickBot="1" x14ac:dyDescent="0.25">
      <c r="F266" s="19">
        <f>+E265</f>
        <v>14512.475222532488</v>
      </c>
    </row>
    <row r="267" spans="1:7" ht="11.25" customHeight="1" thickBot="1" x14ac:dyDescent="0.25"/>
    <row r="268" spans="1:7" ht="13.5" thickBot="1" x14ac:dyDescent="0.25">
      <c r="A268" s="22" t="s">
        <v>215</v>
      </c>
      <c r="B268" s="26"/>
      <c r="C268" s="26"/>
      <c r="D268" s="27"/>
      <c r="E268" s="28"/>
      <c r="F268" s="20">
        <f>F266</f>
        <v>14512.475222532488</v>
      </c>
    </row>
    <row r="269" spans="1:7" ht="13.5" thickBot="1" x14ac:dyDescent="0.25">
      <c r="A269" s="9"/>
      <c r="B269" s="9"/>
      <c r="C269" s="9"/>
      <c r="D269" s="32"/>
      <c r="E269" s="32"/>
      <c r="F269" s="31"/>
    </row>
    <row r="270" spans="1:7" ht="24.75" customHeight="1" thickBot="1" x14ac:dyDescent="0.25">
      <c r="A270" s="22" t="s">
        <v>205</v>
      </c>
      <c r="B270" s="26"/>
      <c r="C270" s="26"/>
      <c r="D270" s="27"/>
      <c r="E270" s="28"/>
      <c r="F270" s="20">
        <f>F261+F268</f>
        <v>71246.154747679044</v>
      </c>
    </row>
    <row r="271" spans="1:7" ht="24.75" hidden="1" customHeight="1" x14ac:dyDescent="0.2">
      <c r="A271" s="9"/>
      <c r="D271" s="53"/>
      <c r="E271" s="53"/>
      <c r="F271" s="349"/>
    </row>
    <row r="272" spans="1:7" ht="14.25" hidden="1" x14ac:dyDescent="0.2">
      <c r="A272" s="6"/>
      <c r="B272" s="6"/>
      <c r="C272" s="6"/>
      <c r="D272" s="33"/>
      <c r="E272" s="33"/>
    </row>
    <row r="273" spans="1:7" ht="16.149999999999999" hidden="1" customHeight="1" x14ac:dyDescent="0.2">
      <c r="A273" s="211" t="s">
        <v>198</v>
      </c>
      <c r="B273" s="212"/>
      <c r="C273" s="212"/>
      <c r="D273" s="213"/>
      <c r="E273" s="214" t="s">
        <v>27</v>
      </c>
      <c r="G273" s="8" t="s">
        <v>185</v>
      </c>
    </row>
    <row r="274" spans="1:7" hidden="1" x14ac:dyDescent="0.2"/>
    <row r="275" spans="1:7" ht="25.5" hidden="1" customHeight="1" thickBot="1" x14ac:dyDescent="0.25">
      <c r="A275" s="22" t="s">
        <v>69</v>
      </c>
      <c r="B275" s="23"/>
      <c r="C275" s="23"/>
      <c r="D275" s="24"/>
      <c r="E275" s="215" t="s">
        <v>33</v>
      </c>
      <c r="F275" s="216" t="str">
        <f>IFERROR(F270/D273,"-")</f>
        <v>-</v>
      </c>
      <c r="G275" s="8" t="s">
        <v>185</v>
      </c>
    </row>
    <row r="276" spans="1:7" ht="12.6" hidden="1" customHeight="1" x14ac:dyDescent="0.2">
      <c r="A276" s="9"/>
      <c r="B276" s="9"/>
      <c r="C276" s="9"/>
      <c r="D276" s="32"/>
      <c r="E276" s="32"/>
      <c r="F276" s="32"/>
    </row>
    <row r="277" spans="1:7" s="2" customFormat="1" ht="9.75" hidden="1" customHeight="1" x14ac:dyDescent="0.2">
      <c r="A277" s="36"/>
      <c r="B277" s="8"/>
      <c r="C277" s="8"/>
      <c r="D277" s="8"/>
      <c r="E277" s="8"/>
      <c r="F277" s="8"/>
      <c r="G277" s="4"/>
    </row>
    <row r="278" spans="1:7" s="2" customFormat="1" ht="9.75" hidden="1" customHeight="1" x14ac:dyDescent="0.2">
      <c r="A278" s="36"/>
      <c r="B278" s="8"/>
      <c r="C278" s="8"/>
      <c r="D278" s="8"/>
      <c r="E278" s="8"/>
      <c r="F278" s="8"/>
      <c r="G278" s="4"/>
    </row>
    <row r="279" spans="1:7" s="2" customFormat="1" ht="9.75" hidden="1" customHeight="1" x14ac:dyDescent="0.2">
      <c r="A279" s="36"/>
      <c r="B279" s="8"/>
      <c r="C279" s="8"/>
      <c r="D279" s="8"/>
      <c r="E279" s="8"/>
      <c r="F279" s="8"/>
      <c r="G279" s="4"/>
    </row>
    <row r="309" s="7" customFormat="1" ht="9" customHeight="1" x14ac:dyDescent="0.2"/>
  </sheetData>
  <mergeCells count="7">
    <mergeCell ref="A47:D47"/>
    <mergeCell ref="A12:F12"/>
    <mergeCell ref="A13:F13"/>
    <mergeCell ref="A15:F15"/>
    <mergeCell ref="A25:C25"/>
    <mergeCell ref="A40:E40"/>
    <mergeCell ref="A41:D41"/>
  </mergeCells>
  <hyperlinks>
    <hyperlink ref="A181" location="AbaRemun" display="3.1.2. Remuneração do Capital" xr:uid="{00000000-0004-0000-0100-000000000000}"/>
    <hyperlink ref="A164" location="AbaDeprec" display="3.1.1. Depreciação" xr:uid="{00000000-0004-0000-0100-000001000000}"/>
  </hyperlinks>
  <pageMargins left="0.9055118110236221" right="0.51181102362204722" top="0.74803149606299213" bottom="0.74803149606299213" header="0.31496062992125984" footer="0.31496062992125984"/>
  <pageSetup paperSize="9" scale="69" fitToHeight="4" orientation="portrait" r:id="rId1"/>
  <headerFooter alignWithMargins="0">
    <oddFooter>&amp;R&amp;P de &amp;N</oddFooter>
  </headerFooter>
  <rowBreaks count="3" manualBreakCount="3">
    <brk id="83" max="5" man="1"/>
    <brk id="161" max="5" man="1"/>
    <brk id="227" max="5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09"/>
  <sheetViews>
    <sheetView topLeftCell="A59" zoomScale="130" zoomScaleNormal="130" zoomScaleSheetLayoutView="120" workbookViewId="0">
      <selection activeCell="A14" sqref="A14"/>
    </sheetView>
  </sheetViews>
  <sheetFormatPr defaultColWidth="9.140625" defaultRowHeight="12.75" x14ac:dyDescent="0.2"/>
  <cols>
    <col min="1" max="1" width="44.5703125" style="7" customWidth="1"/>
    <col min="2" max="2" width="16" style="7" bestFit="1" customWidth="1"/>
    <col min="3" max="3" width="11.85546875" style="7" customWidth="1"/>
    <col min="4" max="4" width="14.7109375" style="8" customWidth="1"/>
    <col min="5" max="5" width="15.42578125" style="8" customWidth="1"/>
    <col min="6" max="6" width="13.28515625" style="8" customWidth="1"/>
    <col min="7" max="7" width="28.140625" style="8" customWidth="1"/>
    <col min="8" max="8" width="9.140625" style="7"/>
    <col min="9" max="9" width="14.5703125" style="7" customWidth="1"/>
    <col min="10" max="10" width="13.42578125" style="7" customWidth="1"/>
    <col min="11" max="16384" width="9.140625" style="7"/>
  </cols>
  <sheetData>
    <row r="1" spans="1:7" ht="15.75" hidden="1" x14ac:dyDescent="0.2">
      <c r="A1" s="51" t="s">
        <v>183</v>
      </c>
      <c r="G1" s="309"/>
    </row>
    <row r="2" spans="1:7" ht="15.75" hidden="1" x14ac:dyDescent="0.2">
      <c r="A2" s="301" t="s">
        <v>256</v>
      </c>
    </row>
    <row r="3" spans="1:7" ht="15.75" hidden="1" x14ac:dyDescent="0.2">
      <c r="A3" s="301" t="s">
        <v>257</v>
      </c>
    </row>
    <row r="4" spans="1:7" ht="15.75" hidden="1" x14ac:dyDescent="0.2">
      <c r="A4" s="301" t="s">
        <v>259</v>
      </c>
    </row>
    <row r="5" spans="1:7" s="2" customFormat="1" ht="15.6" hidden="1" customHeight="1" x14ac:dyDescent="0.2">
      <c r="A5" s="51" t="s">
        <v>253</v>
      </c>
      <c r="C5" s="3"/>
      <c r="D5" s="3"/>
      <c r="E5" s="3"/>
      <c r="F5" s="3"/>
      <c r="G5" s="4"/>
    </row>
    <row r="6" spans="1:7" s="2" customFormat="1" ht="15.6" hidden="1" customHeight="1" x14ac:dyDescent="0.2">
      <c r="A6" s="255" t="s">
        <v>258</v>
      </c>
      <c r="B6" s="3"/>
      <c r="C6" s="3"/>
      <c r="D6" s="3"/>
      <c r="E6" s="3"/>
      <c r="F6" s="3"/>
      <c r="G6" s="4"/>
    </row>
    <row r="7" spans="1:7" s="2" customFormat="1" ht="15.6" hidden="1" customHeight="1" x14ac:dyDescent="0.2">
      <c r="A7" s="5"/>
      <c r="B7" s="3"/>
      <c r="C7" s="3"/>
      <c r="D7" s="3"/>
      <c r="E7" s="3"/>
      <c r="F7" s="3"/>
      <c r="G7" s="4"/>
    </row>
    <row r="8" spans="1:7" s="2" customFormat="1" ht="15.6" hidden="1" customHeight="1" x14ac:dyDescent="0.2">
      <c r="A8" s="256" t="s">
        <v>264</v>
      </c>
      <c r="B8" s="3"/>
      <c r="C8" s="3"/>
      <c r="D8" s="3"/>
      <c r="E8" s="3"/>
      <c r="F8" s="3"/>
      <c r="G8" s="4"/>
    </row>
    <row r="9" spans="1:7" s="2" customFormat="1" ht="15.6" hidden="1" customHeight="1" x14ac:dyDescent="0.2">
      <c r="A9" s="301" t="s">
        <v>261</v>
      </c>
      <c r="B9" s="3"/>
      <c r="C9" s="3"/>
      <c r="D9" s="3"/>
      <c r="E9" s="3"/>
      <c r="F9" s="3"/>
      <c r="G9" s="4"/>
    </row>
    <row r="10" spans="1:7" s="2" customFormat="1" ht="16.5" hidden="1" customHeight="1" x14ac:dyDescent="0.2">
      <c r="A10" s="5"/>
      <c r="B10" s="3"/>
      <c r="C10" s="3"/>
      <c r="D10" s="4"/>
      <c r="E10" s="4"/>
      <c r="F10" s="4"/>
      <c r="G10" s="4"/>
    </row>
    <row r="11" spans="1:7" s="2" customFormat="1" ht="16.5" customHeight="1" thickBot="1" x14ac:dyDescent="0.25">
      <c r="A11" s="136" t="s">
        <v>281</v>
      </c>
      <c r="B11" s="3"/>
      <c r="C11" s="3"/>
      <c r="D11" s="4"/>
      <c r="E11" s="4"/>
      <c r="F11" s="4"/>
      <c r="G11" s="4"/>
    </row>
    <row r="12" spans="1:7" s="6" customFormat="1" ht="18" x14ac:dyDescent="0.2">
      <c r="A12" s="414" t="s">
        <v>460</v>
      </c>
      <c r="B12" s="415"/>
      <c r="C12" s="415"/>
      <c r="D12" s="415"/>
      <c r="E12" s="415"/>
      <c r="F12" s="416"/>
      <c r="G12" s="33"/>
    </row>
    <row r="13" spans="1:7" s="6" customFormat="1" ht="21.75" customHeight="1" x14ac:dyDescent="0.2">
      <c r="A13" s="417" t="s">
        <v>44</v>
      </c>
      <c r="B13" s="418"/>
      <c r="C13" s="418"/>
      <c r="D13" s="418"/>
      <c r="E13" s="418"/>
      <c r="F13" s="419"/>
      <c r="G13" s="33"/>
    </row>
    <row r="14" spans="1:7" s="2" customFormat="1" ht="10.9" customHeight="1" thickBot="1" x14ac:dyDescent="0.25">
      <c r="A14" s="137"/>
      <c r="B14" s="3"/>
      <c r="C14" s="3"/>
      <c r="D14" s="138"/>
      <c r="E14" s="138"/>
      <c r="F14" s="139"/>
      <c r="G14" s="4"/>
    </row>
    <row r="15" spans="1:7" s="2" customFormat="1" ht="15.75" customHeight="1" thickBot="1" x14ac:dyDescent="0.25">
      <c r="A15" s="420" t="s">
        <v>182</v>
      </c>
      <c r="B15" s="421"/>
      <c r="C15" s="421"/>
      <c r="D15" s="421"/>
      <c r="E15" s="421"/>
      <c r="F15" s="422"/>
      <c r="G15" s="4"/>
    </row>
    <row r="16" spans="1:7" s="2" customFormat="1" ht="15.75" customHeight="1" x14ac:dyDescent="0.2">
      <c r="A16" s="58" t="s">
        <v>181</v>
      </c>
      <c r="B16" s="37"/>
      <c r="C16" s="37"/>
      <c r="D16" s="220"/>
      <c r="E16" s="107" t="s">
        <v>39</v>
      </c>
      <c r="F16" s="38" t="s">
        <v>2</v>
      </c>
      <c r="G16" s="4"/>
    </row>
    <row r="17" spans="1:7" s="9" customFormat="1" ht="17.25" customHeight="1" x14ac:dyDescent="0.2">
      <c r="A17" s="116" t="str">
        <f>A52</f>
        <v>1. Mão-de-obra</v>
      </c>
      <c r="B17" s="117"/>
      <c r="C17" s="118"/>
      <c r="D17" s="118"/>
      <c r="E17" s="217">
        <f>+F127</f>
        <v>17164.001015545371</v>
      </c>
      <c r="F17" s="119">
        <f t="shared" ref="F17:F36" si="0">IFERROR(E17/$E$37,0)</f>
        <v>0.55572180512326141</v>
      </c>
      <c r="G17" s="41"/>
    </row>
    <row r="18" spans="1:7" s="2" customFormat="1" ht="17.25" customHeight="1" x14ac:dyDescent="0.2">
      <c r="A18" s="46" t="str">
        <f>A53</f>
        <v>1.1. Coletor Turno Dia</v>
      </c>
      <c r="B18" s="42"/>
      <c r="C18" s="44"/>
      <c r="D18" s="44"/>
      <c r="E18" s="218">
        <f>F64</f>
        <v>9280.5232861998029</v>
      </c>
      <c r="F18" s="52">
        <f t="shared" si="0"/>
        <v>0.30047709438052289</v>
      </c>
      <c r="G18" s="4"/>
    </row>
    <row r="19" spans="1:7" s="2" customFormat="1" ht="17.25" customHeight="1" x14ac:dyDescent="0.2">
      <c r="A19" s="46" t="str">
        <f>A66</f>
        <v>1.2. Supervisor/Encarregado</v>
      </c>
      <c r="B19" s="42"/>
      <c r="C19" s="44"/>
      <c r="D19" s="44"/>
      <c r="E19" s="218">
        <f>F83</f>
        <v>1114.8268032000001</v>
      </c>
      <c r="F19" s="52">
        <f t="shared" si="0"/>
        <v>3.6094938640063572E-2</v>
      </c>
      <c r="G19" s="4"/>
    </row>
    <row r="20" spans="1:7" s="2" customFormat="1" ht="17.25" customHeight="1" x14ac:dyDescent="0.2">
      <c r="A20" s="46" t="str">
        <f>A85</f>
        <v>1.3. Motorista Turno do Dia</v>
      </c>
      <c r="B20" s="42"/>
      <c r="C20" s="44"/>
      <c r="D20" s="44"/>
      <c r="E20" s="218">
        <f>F98</f>
        <v>4743.2065026050905</v>
      </c>
      <c r="F20" s="52">
        <f t="shared" si="0"/>
        <v>0.1535716105652036</v>
      </c>
      <c r="G20" s="4"/>
    </row>
    <row r="21" spans="1:7" s="2" customFormat="1" ht="17.25" customHeight="1" x14ac:dyDescent="0.2">
      <c r="A21" s="46" t="str">
        <f>A100</f>
        <v>1.4. Vale Transporte</v>
      </c>
      <c r="B21" s="42"/>
      <c r="C21" s="44"/>
      <c r="D21" s="44"/>
      <c r="E21" s="218">
        <f>F106</f>
        <v>429.05442461538462</v>
      </c>
      <c r="F21" s="52">
        <f t="shared" si="0"/>
        <v>1.3891568704023862E-2</v>
      </c>
      <c r="G21" s="4"/>
    </row>
    <row r="22" spans="1:7" s="2" customFormat="1" ht="17.25" customHeight="1" x14ac:dyDescent="0.2">
      <c r="A22" s="46" t="str">
        <f>A108</f>
        <v>1.5. Vale-refeição (diário)</v>
      </c>
      <c r="B22" s="42"/>
      <c r="C22" s="44"/>
      <c r="D22" s="44"/>
      <c r="E22" s="218">
        <f>F113</f>
        <v>1359.9100000000003</v>
      </c>
      <c r="F22" s="52">
        <f t="shared" si="0"/>
        <v>4.4030039343432303E-2</v>
      </c>
      <c r="G22" s="4"/>
    </row>
    <row r="23" spans="1:7" s="2" customFormat="1" ht="17.25" customHeight="1" x14ac:dyDescent="0.2">
      <c r="A23" s="46" t="str">
        <f>A115</f>
        <v>1.6. Auxílio Alimentação e Abono Indenizatório (mensal)</v>
      </c>
      <c r="B23" s="42"/>
      <c r="C23" s="44"/>
      <c r="D23" s="44"/>
      <c r="E23" s="218">
        <f>F119</f>
        <v>188.2799991441818</v>
      </c>
      <c r="F23" s="52">
        <f t="shared" si="0"/>
        <v>6.0959738290767207E-3</v>
      </c>
      <c r="G23" s="4"/>
    </row>
    <row r="24" spans="1:7" s="2" customFormat="1" ht="17.25" customHeight="1" x14ac:dyDescent="0.2">
      <c r="A24" s="46" t="str">
        <f>A121</f>
        <v xml:space="preserve">1.7 Plano de Benefício Social  </v>
      </c>
      <c r="B24" s="42"/>
      <c r="C24" s="44"/>
      <c r="D24" s="44"/>
      <c r="E24" s="218">
        <f>F125</f>
        <v>48.199999780909096</v>
      </c>
      <c r="F24" s="52">
        <f t="shared" si="0"/>
        <v>1.5605796609384852E-3</v>
      </c>
      <c r="G24" s="4"/>
    </row>
    <row r="25" spans="1:7" s="9" customFormat="1" ht="17.25" customHeight="1" x14ac:dyDescent="0.2">
      <c r="A25" s="423" t="str">
        <f>A129</f>
        <v>2. Uniformes e Equipamentos de Proteção Individual</v>
      </c>
      <c r="B25" s="424"/>
      <c r="C25" s="424"/>
      <c r="D25" s="118"/>
      <c r="E25" s="217">
        <f>+F160</f>
        <v>403.46666483272725</v>
      </c>
      <c r="F25" s="119">
        <f t="shared" si="0"/>
        <v>1.3063109416320485E-2</v>
      </c>
      <c r="G25" s="41"/>
    </row>
    <row r="26" spans="1:7" s="9" customFormat="1" ht="17.25" customHeight="1" x14ac:dyDescent="0.2">
      <c r="A26" s="310" t="str">
        <f>A162</f>
        <v>3. Veículos e Equipamentos</v>
      </c>
      <c r="B26" s="127"/>
      <c r="C26" s="118"/>
      <c r="D26" s="118"/>
      <c r="E26" s="217">
        <f>+F237</f>
        <v>6564.6805355158722</v>
      </c>
      <c r="F26" s="119">
        <f t="shared" si="0"/>
        <v>0.21254578777700583</v>
      </c>
      <c r="G26" s="41"/>
    </row>
    <row r="27" spans="1:7" s="2" customFormat="1" ht="17.25" customHeight="1" x14ac:dyDescent="0.2">
      <c r="A27" s="59" t="str">
        <f>A163</f>
        <v>3.1. Veículo Coletor Tipo Baú</v>
      </c>
      <c r="B27" s="43"/>
      <c r="C27" s="44"/>
      <c r="D27" s="44"/>
      <c r="E27" s="218">
        <f>SUM(E28:E33)</f>
        <v>6564.6805355158722</v>
      </c>
      <c r="F27" s="132">
        <f t="shared" si="0"/>
        <v>0.21254578777700583</v>
      </c>
      <c r="G27" s="4"/>
    </row>
    <row r="28" spans="1:7" s="2" customFormat="1" ht="17.25" customHeight="1" x14ac:dyDescent="0.2">
      <c r="A28" s="59" t="str">
        <f>A164</f>
        <v>3.1.1. Depreciação</v>
      </c>
      <c r="B28" s="43"/>
      <c r="C28" s="44"/>
      <c r="D28" s="44"/>
      <c r="E28" s="218">
        <f>F179</f>
        <v>1344.3374938893753</v>
      </c>
      <c r="F28" s="132">
        <f t="shared" si="0"/>
        <v>4.352584564184421E-2</v>
      </c>
      <c r="G28" s="4"/>
    </row>
    <row r="29" spans="1:7" s="2" customFormat="1" ht="17.25" customHeight="1" x14ac:dyDescent="0.2">
      <c r="A29" s="59" t="str">
        <f>A181</f>
        <v>3.1.2. Remuneração do Capital</v>
      </c>
      <c r="B29" s="43"/>
      <c r="C29" s="44"/>
      <c r="D29" s="44"/>
      <c r="E29" s="218">
        <f>F195</f>
        <v>1590.0524927724884</v>
      </c>
      <c r="F29" s="132">
        <f t="shared" si="0"/>
        <v>5.1481402309634647E-2</v>
      </c>
      <c r="G29" s="4"/>
    </row>
    <row r="30" spans="1:7" s="2" customFormat="1" ht="17.25" customHeight="1" x14ac:dyDescent="0.2">
      <c r="A30" s="59" t="str">
        <f>A197</f>
        <v>3.1.3. Impostos e Seguros</v>
      </c>
      <c r="B30" s="43"/>
      <c r="C30" s="44"/>
      <c r="D30" s="44"/>
      <c r="E30" s="218">
        <f>F203</f>
        <v>442.43916465557959</v>
      </c>
      <c r="F30" s="132">
        <f t="shared" si="0"/>
        <v>1.432492872826914E-2</v>
      </c>
      <c r="G30" s="4"/>
    </row>
    <row r="31" spans="1:7" s="2" customFormat="1" ht="17.25" customHeight="1" x14ac:dyDescent="0.2">
      <c r="A31" s="59" t="str">
        <f>A205</f>
        <v>3.1.4. Consumos</v>
      </c>
      <c r="B31" s="43"/>
      <c r="C31" s="44"/>
      <c r="D31" s="44"/>
      <c r="E31" s="218">
        <f>F221</f>
        <v>1903.3497735912854</v>
      </c>
      <c r="F31" s="132">
        <f t="shared" si="0"/>
        <v>6.1625082112446591E-2</v>
      </c>
      <c r="G31" s="4"/>
    </row>
    <row r="32" spans="1:7" s="2" customFormat="1" ht="17.25" customHeight="1" x14ac:dyDescent="0.2">
      <c r="A32" s="59" t="str">
        <f>A223</f>
        <v>3.1.5. Manutenção</v>
      </c>
      <c r="B32" s="43"/>
      <c r="C32" s="44"/>
      <c r="D32" s="44"/>
      <c r="E32" s="218">
        <f>F226</f>
        <v>1034.4979414285713</v>
      </c>
      <c r="F32" s="132">
        <f t="shared" si="0"/>
        <v>3.3494117303203674E-2</v>
      </c>
      <c r="G32" s="4"/>
    </row>
    <row r="33" spans="1:7" s="2" customFormat="1" ht="17.25" customHeight="1" x14ac:dyDescent="0.2">
      <c r="A33" s="59" t="str">
        <f>A228</f>
        <v>3.1.6. Pneus</v>
      </c>
      <c r="B33" s="43"/>
      <c r="C33" s="44"/>
      <c r="D33" s="44"/>
      <c r="E33" s="218">
        <f>F235</f>
        <v>250.00366917857139</v>
      </c>
      <c r="F33" s="132">
        <f t="shared" si="0"/>
        <v>8.0944116816075544E-3</v>
      </c>
      <c r="G33" s="4"/>
    </row>
    <row r="34" spans="1:7" s="9" customFormat="1" ht="17.25" customHeight="1" x14ac:dyDescent="0.2">
      <c r="A34" s="310" t="str">
        <f>A239</f>
        <v>4. Ferramentas, Materiais de Consumo, Lavagem</v>
      </c>
      <c r="B34" s="127"/>
      <c r="C34" s="118"/>
      <c r="D34" s="118"/>
      <c r="E34" s="217">
        <f>+F249</f>
        <v>321.66666666666669</v>
      </c>
      <c r="F34" s="119">
        <f t="shared" si="0"/>
        <v>1.0414656844058838E-2</v>
      </c>
      <c r="G34" s="41"/>
    </row>
    <row r="35" spans="1:7" s="9" customFormat="1" ht="17.25" customHeight="1" x14ac:dyDescent="0.2">
      <c r="A35" s="310" t="str">
        <f>A251</f>
        <v>5. Monitoramento da Frota</v>
      </c>
      <c r="B35" s="127"/>
      <c r="C35" s="118"/>
      <c r="D35" s="118"/>
      <c r="E35" s="217">
        <f>+F259</f>
        <v>140.83333269318183</v>
      </c>
      <c r="F35" s="119">
        <f t="shared" si="0"/>
        <v>4.55978497058444E-3</v>
      </c>
      <c r="G35" s="41"/>
    </row>
    <row r="36" spans="1:7" s="9" customFormat="1" ht="17.25" customHeight="1" thickBot="1" x14ac:dyDescent="0.25">
      <c r="A36" s="310" t="str">
        <f>A263</f>
        <v>6. Benefícios e Despesas Indiretas - BDI</v>
      </c>
      <c r="B36" s="127"/>
      <c r="C36" s="118"/>
      <c r="D36" s="118"/>
      <c r="E36" s="219">
        <f>+F268</f>
        <v>6291.3110134619274</v>
      </c>
      <c r="F36" s="119">
        <f t="shared" si="0"/>
        <v>0.20369485586876893</v>
      </c>
      <c r="G36" s="41"/>
    </row>
    <row r="37" spans="1:7" s="2" customFormat="1" ht="17.25" customHeight="1" thickBot="1" x14ac:dyDescent="0.25">
      <c r="A37" s="39" t="s">
        <v>214</v>
      </c>
      <c r="B37" s="40"/>
      <c r="C37" s="24"/>
      <c r="D37" s="24"/>
      <c r="E37" s="106">
        <f>E17+E25+E26+E34+E35+E36</f>
        <v>30885.959228715747</v>
      </c>
      <c r="F37" s="131">
        <f>F17+F25+F26+F34+F35+F36</f>
        <v>0.99999999999999989</v>
      </c>
      <c r="G37" s="4"/>
    </row>
    <row r="39" spans="1:7" ht="13.5" thickBot="1" x14ac:dyDescent="0.25"/>
    <row r="40" spans="1:7" s="2" customFormat="1" ht="15" customHeight="1" thickBot="1" x14ac:dyDescent="0.25">
      <c r="A40" s="420" t="s">
        <v>96</v>
      </c>
      <c r="B40" s="421"/>
      <c r="C40" s="421"/>
      <c r="D40" s="421"/>
      <c r="E40" s="422"/>
      <c r="F40" s="8"/>
      <c r="G40" s="4"/>
    </row>
    <row r="41" spans="1:7" s="2" customFormat="1" ht="15" customHeight="1" thickBot="1" x14ac:dyDescent="0.25">
      <c r="A41" s="425" t="s">
        <v>40</v>
      </c>
      <c r="B41" s="426"/>
      <c r="C41" s="426"/>
      <c r="D41" s="427"/>
      <c r="E41" s="45" t="s">
        <v>41</v>
      </c>
      <c r="F41" s="8"/>
      <c r="G41" s="4"/>
    </row>
    <row r="42" spans="1:7" s="2" customFormat="1" ht="15" customHeight="1" x14ac:dyDescent="0.2">
      <c r="A42" s="67" t="str">
        <f>+A53</f>
        <v>1.1. Coletor Turno Dia</v>
      </c>
      <c r="B42" s="68"/>
      <c r="C42" s="68"/>
      <c r="D42" s="69"/>
      <c r="E42" s="70">
        <v>2</v>
      </c>
      <c r="F42" s="8"/>
      <c r="G42" s="4"/>
    </row>
    <row r="43" spans="1:7" s="2" customFormat="1" ht="15" customHeight="1" x14ac:dyDescent="0.2">
      <c r="A43" s="61" t="str">
        <f>+A66</f>
        <v>1.2. Supervisor/Encarregado</v>
      </c>
      <c r="B43" s="60"/>
      <c r="C43" s="60"/>
      <c r="D43" s="71"/>
      <c r="E43" s="64">
        <f>C82</f>
        <v>1</v>
      </c>
      <c r="F43" s="8"/>
      <c r="G43" s="4"/>
    </row>
    <row r="44" spans="1:7" s="2" customFormat="1" ht="15" customHeight="1" x14ac:dyDescent="0.2">
      <c r="A44" s="61" t="str">
        <f>+A85</f>
        <v>1.3. Motorista Turno do Dia</v>
      </c>
      <c r="B44" s="60"/>
      <c r="C44" s="60"/>
      <c r="D44" s="71"/>
      <c r="E44" s="64">
        <v>1</v>
      </c>
      <c r="F44" s="8"/>
      <c r="G44" s="4"/>
    </row>
    <row r="45" spans="1:7" s="2" customFormat="1" ht="15" customHeight="1" thickBot="1" x14ac:dyDescent="0.25">
      <c r="A45" s="65" t="s">
        <v>59</v>
      </c>
      <c r="B45" s="66"/>
      <c r="C45" s="66"/>
      <c r="D45" s="72"/>
      <c r="E45" s="73">
        <f>SUM(E42:E44)</f>
        <v>4</v>
      </c>
      <c r="F45" s="8"/>
      <c r="G45" s="4"/>
    </row>
    <row r="46" spans="1:7" s="2" customFormat="1" ht="15" customHeight="1" thickBot="1" x14ac:dyDescent="0.25">
      <c r="A46" s="120"/>
      <c r="B46" s="121"/>
      <c r="C46" s="53"/>
      <c r="D46" s="53"/>
      <c r="E46" s="122"/>
      <c r="F46" s="8"/>
      <c r="G46" s="4"/>
    </row>
    <row r="47" spans="1:7" s="2" customFormat="1" ht="15" customHeight="1" x14ac:dyDescent="0.2">
      <c r="A47" s="412" t="s">
        <v>57</v>
      </c>
      <c r="B47" s="413"/>
      <c r="C47" s="413"/>
      <c r="D47" s="413"/>
      <c r="E47" s="45" t="s">
        <v>41</v>
      </c>
      <c r="F47" s="7"/>
      <c r="G47" s="4"/>
    </row>
    <row r="48" spans="1:7" s="2" customFormat="1" ht="15" customHeight="1" thickBot="1" x14ac:dyDescent="0.25">
      <c r="A48" s="123" t="str">
        <f>+A163</f>
        <v>3.1. Veículo Coletor Tipo Baú</v>
      </c>
      <c r="B48" s="124"/>
      <c r="C48" s="124"/>
      <c r="D48" s="125"/>
      <c r="E48" s="126">
        <v>1</v>
      </c>
      <c r="F48" s="7"/>
      <c r="G48" s="4"/>
    </row>
    <row r="49" spans="1:7" s="2" customFormat="1" ht="13.5" thickBot="1" x14ac:dyDescent="0.25">
      <c r="A49" s="53"/>
      <c r="B49" s="53"/>
      <c r="C49" s="53"/>
      <c r="D49" s="7"/>
      <c r="E49" s="62"/>
      <c r="F49" s="7"/>
      <c r="G49" s="4"/>
    </row>
    <row r="50" spans="1:7" s="9" customFormat="1" ht="15.75" customHeight="1" thickBot="1" x14ac:dyDescent="0.25">
      <c r="A50" s="221" t="s">
        <v>177</v>
      </c>
      <c r="B50" s="265">
        <f>'6.Horários'!F16/'6.Horários'!F17</f>
        <v>0.99999999545454543</v>
      </c>
      <c r="C50" s="32"/>
      <c r="E50" s="140"/>
      <c r="G50" s="41"/>
    </row>
    <row r="51" spans="1:7" s="2" customFormat="1" ht="15.75" customHeight="1" x14ac:dyDescent="0.2">
      <c r="A51" s="53"/>
      <c r="B51" s="53"/>
      <c r="C51" s="53"/>
      <c r="D51" s="7"/>
      <c r="E51" s="62"/>
      <c r="F51" s="7"/>
      <c r="G51" s="4"/>
    </row>
    <row r="52" spans="1:7" ht="13.15" customHeight="1" x14ac:dyDescent="0.2">
      <c r="A52" s="9" t="s">
        <v>48</v>
      </c>
    </row>
    <row r="53" spans="1:7" ht="13.9" customHeight="1" thickBot="1" x14ac:dyDescent="0.25">
      <c r="A53" s="7" t="s">
        <v>99</v>
      </c>
    </row>
    <row r="54" spans="1:7" ht="13.9" customHeight="1" thickBot="1" x14ac:dyDescent="0.25">
      <c r="A54" s="54" t="s">
        <v>63</v>
      </c>
      <c r="B54" s="55" t="s">
        <v>64</v>
      </c>
      <c r="C54" s="55" t="s">
        <v>41</v>
      </c>
      <c r="D54" s="56" t="s">
        <v>210</v>
      </c>
      <c r="E54" s="56" t="s">
        <v>65</v>
      </c>
      <c r="F54" s="57" t="s">
        <v>66</v>
      </c>
    </row>
    <row r="55" spans="1:7" ht="13.15" customHeight="1" x14ac:dyDescent="0.2">
      <c r="A55" s="11" t="s">
        <v>191</v>
      </c>
      <c r="B55" s="12" t="s">
        <v>8</v>
      </c>
      <c r="C55" s="12">
        <v>1</v>
      </c>
      <c r="D55" s="264">
        <v>1949.91</v>
      </c>
      <c r="E55" s="13">
        <f>C55*D55</f>
        <v>1949.91</v>
      </c>
    </row>
    <row r="56" spans="1:7" hidden="1" x14ac:dyDescent="0.2">
      <c r="A56" s="14" t="s">
        <v>35</v>
      </c>
      <c r="B56" s="15" t="s">
        <v>0</v>
      </c>
      <c r="C56" s="80"/>
      <c r="D56" s="16">
        <f>D55/220*2</f>
        <v>17.726454545454548</v>
      </c>
      <c r="E56" s="16">
        <f>C56*D56</f>
        <v>0</v>
      </c>
      <c r="G56" s="8" t="s">
        <v>220</v>
      </c>
    </row>
    <row r="57" spans="1:7" hidden="1" x14ac:dyDescent="0.2">
      <c r="A57" s="14" t="s">
        <v>36</v>
      </c>
      <c r="B57" s="15" t="s">
        <v>0</v>
      </c>
      <c r="C57" s="80"/>
      <c r="D57" s="16">
        <f>D55/220*1.5</f>
        <v>13.294840909090912</v>
      </c>
      <c r="E57" s="16">
        <f>C57*D57</f>
        <v>0</v>
      </c>
      <c r="G57" s="8" t="s">
        <v>222</v>
      </c>
    </row>
    <row r="58" spans="1:7" hidden="1" x14ac:dyDescent="0.2">
      <c r="A58" s="14" t="s">
        <v>195</v>
      </c>
      <c r="B58" s="15" t="s">
        <v>34</v>
      </c>
      <c r="D58" s="16">
        <f>63/302*(SUM(E56:E57))</f>
        <v>0</v>
      </c>
      <c r="E58" s="16">
        <f>D58</f>
        <v>0</v>
      </c>
      <c r="G58" s="8" t="s">
        <v>194</v>
      </c>
    </row>
    <row r="59" spans="1:7" x14ac:dyDescent="0.2">
      <c r="A59" s="14" t="s">
        <v>1</v>
      </c>
      <c r="B59" s="15" t="s">
        <v>2</v>
      </c>
      <c r="C59" s="15">
        <v>40</v>
      </c>
      <c r="D59" s="75">
        <f>SUM(E55:E58)</f>
        <v>1949.91</v>
      </c>
      <c r="E59" s="16">
        <f>C59*D59/100</f>
        <v>779.96400000000006</v>
      </c>
    </row>
    <row r="60" spans="1:7" x14ac:dyDescent="0.2">
      <c r="A60" s="108" t="s">
        <v>3</v>
      </c>
      <c r="B60" s="109"/>
      <c r="C60" s="109"/>
      <c r="D60" s="110"/>
      <c r="E60" s="111">
        <f>SUM(E55:E59)</f>
        <v>2729.8740000000003</v>
      </c>
    </row>
    <row r="61" spans="1:7" x14ac:dyDescent="0.2">
      <c r="A61" s="14" t="s">
        <v>4</v>
      </c>
      <c r="B61" s="15" t="s">
        <v>2</v>
      </c>
      <c r="C61" s="129">
        <f>'3.Enc Sociais'!C38*100</f>
        <v>69.980800000000002</v>
      </c>
      <c r="D61" s="16">
        <f>E60</f>
        <v>2729.8740000000003</v>
      </c>
      <c r="E61" s="16">
        <f>D61*C61/100</f>
        <v>1910.3876641920003</v>
      </c>
    </row>
    <row r="62" spans="1:7" x14ac:dyDescent="0.2">
      <c r="A62" s="108" t="s">
        <v>72</v>
      </c>
      <c r="B62" s="109"/>
      <c r="C62" s="109"/>
      <c r="D62" s="110"/>
      <c r="E62" s="111">
        <f>E60+E61</f>
        <v>4640.2616641920004</v>
      </c>
    </row>
    <row r="63" spans="1:7" ht="13.5" thickBot="1" x14ac:dyDescent="0.25">
      <c r="A63" s="14" t="s">
        <v>5</v>
      </c>
      <c r="B63" s="15" t="s">
        <v>6</v>
      </c>
      <c r="C63" s="82">
        <f>E42</f>
        <v>2</v>
      </c>
      <c r="D63" s="16">
        <f>E62</f>
        <v>4640.2616641920004</v>
      </c>
      <c r="E63" s="16">
        <f>C63*D63</f>
        <v>9280.5233283840007</v>
      </c>
      <c r="G63" s="4"/>
    </row>
    <row r="64" spans="1:7" ht="13.9" customHeight="1" thickBot="1" x14ac:dyDescent="0.25">
      <c r="A64" s="5"/>
      <c r="D64" s="114" t="s">
        <v>176</v>
      </c>
      <c r="E64" s="266">
        <f>B50</f>
        <v>0.99999999545454543</v>
      </c>
      <c r="F64" s="115">
        <f>E63*E64</f>
        <v>9280.5232861998029</v>
      </c>
      <c r="G64" s="4"/>
    </row>
    <row r="65" spans="1:7" ht="11.25" customHeight="1" x14ac:dyDescent="0.2"/>
    <row r="66" spans="1:7" ht="13.5" thickBot="1" x14ac:dyDescent="0.25">
      <c r="A66" s="5" t="s">
        <v>406</v>
      </c>
    </row>
    <row r="67" spans="1:7" ht="13.5" thickBot="1" x14ac:dyDescent="0.25">
      <c r="A67" s="54" t="s">
        <v>63</v>
      </c>
      <c r="B67" s="55" t="s">
        <v>64</v>
      </c>
      <c r="C67" s="55" t="s">
        <v>41</v>
      </c>
      <c r="D67" s="56" t="s">
        <v>210</v>
      </c>
      <c r="E67" s="56" t="s">
        <v>65</v>
      </c>
      <c r="F67" s="57" t="s">
        <v>66</v>
      </c>
    </row>
    <row r="68" spans="1:7" x14ac:dyDescent="0.2">
      <c r="A68" s="11" t="s">
        <v>191</v>
      </c>
      <c r="B68" s="12" t="s">
        <v>8</v>
      </c>
      <c r="C68" s="12">
        <v>1</v>
      </c>
      <c r="D68" s="79">
        <v>3000</v>
      </c>
      <c r="E68" s="13">
        <f>C68*D68</f>
        <v>3000</v>
      </c>
    </row>
    <row r="69" spans="1:7" hidden="1" x14ac:dyDescent="0.2">
      <c r="A69" s="14" t="s">
        <v>7</v>
      </c>
      <c r="B69" s="15" t="s">
        <v>97</v>
      </c>
      <c r="C69" s="80"/>
      <c r="D69" s="16"/>
      <c r="E69" s="16"/>
    </row>
    <row r="70" spans="1:7" hidden="1" x14ac:dyDescent="0.2">
      <c r="A70" s="14"/>
      <c r="B70" s="15" t="s">
        <v>101</v>
      </c>
      <c r="C70" s="112">
        <f>C69*8/7</f>
        <v>0</v>
      </c>
      <c r="D70" s="16">
        <f>D68/220*0.2</f>
        <v>2.7272727272727275</v>
      </c>
      <c r="E70" s="16">
        <f>C69*D70</f>
        <v>0</v>
      </c>
    </row>
    <row r="71" spans="1:7" hidden="1" x14ac:dyDescent="0.2">
      <c r="A71" s="14" t="s">
        <v>35</v>
      </c>
      <c r="B71" s="15" t="s">
        <v>0</v>
      </c>
      <c r="C71" s="80"/>
      <c r="D71" s="16">
        <f>D68/220*2</f>
        <v>27.272727272727273</v>
      </c>
      <c r="E71" s="16">
        <f>C71*D71</f>
        <v>0</v>
      </c>
      <c r="G71" s="8" t="s">
        <v>220</v>
      </c>
    </row>
    <row r="72" spans="1:7" hidden="1" x14ac:dyDescent="0.2">
      <c r="A72" s="14" t="s">
        <v>98</v>
      </c>
      <c r="B72" s="15" t="s">
        <v>97</v>
      </c>
      <c r="C72" s="80"/>
      <c r="D72" s="16"/>
      <c r="E72" s="16"/>
      <c r="G72" s="8" t="s">
        <v>221</v>
      </c>
    </row>
    <row r="73" spans="1:7" hidden="1" x14ac:dyDescent="0.2">
      <c r="A73" s="14"/>
      <c r="B73" s="15" t="s">
        <v>101</v>
      </c>
      <c r="C73" s="112">
        <f>C72*8/7</f>
        <v>0</v>
      </c>
      <c r="D73" s="16">
        <f>D68/220*2*1.2</f>
        <v>32.727272727272727</v>
      </c>
      <c r="E73" s="16">
        <f>C73*D73</f>
        <v>0</v>
      </c>
      <c r="G73" s="8" t="s">
        <v>221</v>
      </c>
    </row>
    <row r="74" spans="1:7" hidden="1" x14ac:dyDescent="0.2">
      <c r="A74" s="14" t="s">
        <v>36</v>
      </c>
      <c r="B74" s="15" t="s">
        <v>0</v>
      </c>
      <c r="C74" s="80"/>
      <c r="D74" s="16">
        <f>D68/220*1.5</f>
        <v>20.454545454545453</v>
      </c>
      <c r="E74" s="16">
        <f>C74*D74</f>
        <v>0</v>
      </c>
      <c r="G74" s="8" t="s">
        <v>222</v>
      </c>
    </row>
    <row r="75" spans="1:7" hidden="1" x14ac:dyDescent="0.2">
      <c r="A75" s="14" t="s">
        <v>193</v>
      </c>
      <c r="B75" s="15" t="s">
        <v>97</v>
      </c>
      <c r="C75" s="80"/>
      <c r="D75" s="16"/>
      <c r="E75" s="16"/>
      <c r="G75" s="8" t="s">
        <v>223</v>
      </c>
    </row>
    <row r="76" spans="1:7" hidden="1" x14ac:dyDescent="0.2">
      <c r="A76" s="14"/>
      <c r="B76" s="15" t="s">
        <v>101</v>
      </c>
      <c r="C76" s="16">
        <f>C75*8/7</f>
        <v>0</v>
      </c>
      <c r="D76" s="16">
        <f>D68/220*1.5*1.2</f>
        <v>24.545454545454543</v>
      </c>
      <c r="E76" s="16">
        <f>C76*D76</f>
        <v>0</v>
      </c>
      <c r="G76" s="8" t="s">
        <v>223</v>
      </c>
    </row>
    <row r="77" spans="1:7" ht="13.15" hidden="1" customHeight="1" x14ac:dyDescent="0.2">
      <c r="A77" s="14" t="s">
        <v>195</v>
      </c>
      <c r="B77" s="15" t="s">
        <v>34</v>
      </c>
      <c r="D77" s="16">
        <f>63/302*(SUM(E71:E76))</f>
        <v>0</v>
      </c>
      <c r="E77" s="16">
        <f>D77</f>
        <v>0</v>
      </c>
      <c r="G77" s="8" t="s">
        <v>194</v>
      </c>
    </row>
    <row r="78" spans="1:7" x14ac:dyDescent="0.2">
      <c r="A78" s="14" t="s">
        <v>1</v>
      </c>
      <c r="B78" s="15" t="s">
        <v>2</v>
      </c>
      <c r="C78" s="15">
        <v>40</v>
      </c>
      <c r="D78" s="75">
        <v>1518</v>
      </c>
      <c r="E78" s="16">
        <f>C78*D78/100</f>
        <v>607.20000000000005</v>
      </c>
    </row>
    <row r="79" spans="1:7" x14ac:dyDescent="0.2">
      <c r="A79" s="108" t="s">
        <v>3</v>
      </c>
      <c r="B79" s="109"/>
      <c r="C79" s="109"/>
      <c r="D79" s="110"/>
      <c r="E79" s="111">
        <f>SUM(E68:E78)</f>
        <v>3607.2</v>
      </c>
    </row>
    <row r="80" spans="1:7" x14ac:dyDescent="0.2">
      <c r="A80" s="14" t="s">
        <v>4</v>
      </c>
      <c r="B80" s="15" t="s">
        <v>2</v>
      </c>
      <c r="C80" s="129">
        <f>'3.Enc Sociais'!C38*100</f>
        <v>69.980800000000002</v>
      </c>
      <c r="D80" s="16">
        <f>E79</f>
        <v>3607.2</v>
      </c>
      <c r="E80" s="16">
        <f>D80*C80/100</f>
        <v>2524.3474176</v>
      </c>
    </row>
    <row r="81" spans="1:7" x14ac:dyDescent="0.2">
      <c r="A81" s="108" t="s">
        <v>72</v>
      </c>
      <c r="B81" s="109"/>
      <c r="C81" s="109"/>
      <c r="D81" s="110"/>
      <c r="E81" s="111">
        <f>E79+E80</f>
        <v>6131.5474175999998</v>
      </c>
    </row>
    <row r="82" spans="1:7" ht="13.5" thickBot="1" x14ac:dyDescent="0.25">
      <c r="A82" s="14" t="s">
        <v>5</v>
      </c>
      <c r="B82" s="15" t="s">
        <v>6</v>
      </c>
      <c r="C82" s="78">
        <v>1</v>
      </c>
      <c r="D82" s="16">
        <f>E81</f>
        <v>6131.5474175999998</v>
      </c>
      <c r="E82" s="16">
        <f>C82*D82</f>
        <v>6131.5474175999998</v>
      </c>
    </row>
    <row r="83" spans="1:7" ht="13.5" thickBot="1" x14ac:dyDescent="0.25">
      <c r="A83" s="5" t="s">
        <v>461</v>
      </c>
      <c r="D83" s="114" t="s">
        <v>176</v>
      </c>
      <c r="E83" s="266">
        <f>8/44</f>
        <v>0.18181818181818182</v>
      </c>
      <c r="F83" s="115">
        <f>E82*E83</f>
        <v>1114.8268032000001</v>
      </c>
    </row>
    <row r="84" spans="1:7" ht="11.25" customHeight="1" x14ac:dyDescent="0.2"/>
    <row r="85" spans="1:7" ht="13.5" thickBot="1" x14ac:dyDescent="0.25">
      <c r="A85" s="7" t="s">
        <v>100</v>
      </c>
    </row>
    <row r="86" spans="1:7" s="10" customFormat="1" ht="13.15" customHeight="1" thickBot="1" x14ac:dyDescent="0.25">
      <c r="A86" s="54" t="s">
        <v>63</v>
      </c>
      <c r="B86" s="55" t="s">
        <v>64</v>
      </c>
      <c r="C86" s="55" t="s">
        <v>41</v>
      </c>
      <c r="D86" s="56" t="s">
        <v>210</v>
      </c>
      <c r="E86" s="56" t="s">
        <v>65</v>
      </c>
      <c r="F86" s="57" t="s">
        <v>66</v>
      </c>
      <c r="G86" s="8"/>
    </row>
    <row r="87" spans="1:7" x14ac:dyDescent="0.2">
      <c r="A87" s="257" t="s">
        <v>262</v>
      </c>
      <c r="B87" s="12" t="s">
        <v>8</v>
      </c>
      <c r="C87" s="12">
        <v>1</v>
      </c>
      <c r="D87" s="264">
        <f>2075.32*1.052</f>
        <v>2183.2366400000001</v>
      </c>
      <c r="E87" s="13">
        <f>C87*D87</f>
        <v>2183.2366400000001</v>
      </c>
    </row>
    <row r="88" spans="1:7" x14ac:dyDescent="0.2">
      <c r="A88" s="257" t="s">
        <v>263</v>
      </c>
      <c r="B88" s="12" t="s">
        <v>8</v>
      </c>
      <c r="C88" s="12">
        <v>1</v>
      </c>
      <c r="D88" s="79">
        <v>1518</v>
      </c>
      <c r="E88" s="13"/>
    </row>
    <row r="89" spans="1:7" hidden="1" x14ac:dyDescent="0.2">
      <c r="A89" s="14" t="s">
        <v>35</v>
      </c>
      <c r="B89" s="15" t="s">
        <v>0</v>
      </c>
      <c r="C89" s="80"/>
      <c r="D89" s="16">
        <f>D87/220*2</f>
        <v>19.847605818181819</v>
      </c>
      <c r="E89" s="16">
        <f>C89*D89</f>
        <v>0</v>
      </c>
      <c r="G89" s="8" t="s">
        <v>220</v>
      </c>
    </row>
    <row r="90" spans="1:7" hidden="1" x14ac:dyDescent="0.2">
      <c r="A90" s="14" t="s">
        <v>36</v>
      </c>
      <c r="B90" s="15" t="s">
        <v>0</v>
      </c>
      <c r="C90" s="80"/>
      <c r="D90" s="16">
        <f>D87/220*1.5</f>
        <v>14.885704363636364</v>
      </c>
      <c r="E90" s="16">
        <f>C90*D90</f>
        <v>0</v>
      </c>
      <c r="G90" s="8" t="s">
        <v>222</v>
      </c>
    </row>
    <row r="91" spans="1:7" ht="13.15" hidden="1" customHeight="1" x14ac:dyDescent="0.2">
      <c r="A91" s="14" t="s">
        <v>195</v>
      </c>
      <c r="B91" s="15" t="s">
        <v>34</v>
      </c>
      <c r="D91" s="16">
        <f>63/302*(SUM(E89:E90))</f>
        <v>0</v>
      </c>
      <c r="E91" s="16">
        <f>D91</f>
        <v>0</v>
      </c>
      <c r="G91" s="8" t="s">
        <v>194</v>
      </c>
    </row>
    <row r="92" spans="1:7" x14ac:dyDescent="0.2">
      <c r="A92" s="14" t="s">
        <v>192</v>
      </c>
      <c r="B92" s="15"/>
      <c r="C92" s="82">
        <v>1</v>
      </c>
      <c r="D92" s="16"/>
      <c r="E92" s="16"/>
    </row>
    <row r="93" spans="1:7" x14ac:dyDescent="0.2">
      <c r="A93" s="14" t="s">
        <v>1</v>
      </c>
      <c r="B93" s="15" t="s">
        <v>2</v>
      </c>
      <c r="C93" s="78">
        <v>40</v>
      </c>
      <c r="D93" s="75">
        <f>IF(C92=2,SUM(E87:E91),IF(C92=1,(SUM(E87:E91))*D88/D87,0))</f>
        <v>1518</v>
      </c>
      <c r="E93" s="16">
        <f>C93*D93/100</f>
        <v>607.20000000000005</v>
      </c>
    </row>
    <row r="94" spans="1:7" s="9" customFormat="1" x14ac:dyDescent="0.2">
      <c r="A94" s="94" t="s">
        <v>3</v>
      </c>
      <c r="B94" s="109"/>
      <c r="C94" s="109"/>
      <c r="D94" s="110"/>
      <c r="E94" s="96">
        <f>SUM(E87:E93)</f>
        <v>2790.4366399999999</v>
      </c>
      <c r="F94" s="41"/>
      <c r="G94" s="41"/>
    </row>
    <row r="95" spans="1:7" x14ac:dyDescent="0.2">
      <c r="A95" s="14" t="s">
        <v>4</v>
      </c>
      <c r="B95" s="15" t="s">
        <v>2</v>
      </c>
      <c r="C95" s="129">
        <f>'3.Enc Sociais'!C38*100</f>
        <v>69.980800000000002</v>
      </c>
      <c r="D95" s="16">
        <f>E94</f>
        <v>2790.4366399999999</v>
      </c>
      <c r="E95" s="16">
        <f>D95*C95/100</f>
        <v>1952.7698841651199</v>
      </c>
    </row>
    <row r="96" spans="1:7" s="9" customFormat="1" x14ac:dyDescent="0.2">
      <c r="A96" s="94" t="s">
        <v>224</v>
      </c>
      <c r="B96" s="227"/>
      <c r="C96" s="227"/>
      <c r="D96" s="228"/>
      <c r="E96" s="96">
        <f>E94+E95</f>
        <v>4743.2065241651198</v>
      </c>
      <c r="F96" s="41"/>
      <c r="G96" s="41"/>
    </row>
    <row r="97" spans="1:7" ht="13.5" thickBot="1" x14ac:dyDescent="0.25">
      <c r="A97" s="14" t="s">
        <v>5</v>
      </c>
      <c r="B97" s="15" t="s">
        <v>6</v>
      </c>
      <c r="C97" s="78">
        <v>1</v>
      </c>
      <c r="D97" s="16">
        <f>E96</f>
        <v>4743.2065241651198</v>
      </c>
      <c r="E97" s="16">
        <f>C97*D97</f>
        <v>4743.2065241651198</v>
      </c>
    </row>
    <row r="98" spans="1:7" ht="13.5" thickBot="1" x14ac:dyDescent="0.25">
      <c r="A98" s="5" t="s">
        <v>489</v>
      </c>
      <c r="D98" s="114" t="s">
        <v>176</v>
      </c>
      <c r="E98" s="266">
        <f>'6.Horários'!F18</f>
        <v>0.99999999545454543</v>
      </c>
      <c r="F98" s="115">
        <f>E97*E98</f>
        <v>4743.2065026050905</v>
      </c>
    </row>
    <row r="99" spans="1:7" ht="11.25" customHeight="1" x14ac:dyDescent="0.2">
      <c r="A99" s="5"/>
    </row>
    <row r="100" spans="1:7" ht="13.5" thickBot="1" x14ac:dyDescent="0.25">
      <c r="A100" s="5" t="s">
        <v>414</v>
      </c>
      <c r="B100" s="85"/>
      <c r="D100" s="7"/>
      <c r="E100" s="300"/>
      <c r="G100" s="7"/>
    </row>
    <row r="101" spans="1:7" ht="13.5" thickBot="1" x14ac:dyDescent="0.25">
      <c r="A101" s="54" t="s">
        <v>63</v>
      </c>
      <c r="B101" s="55" t="s">
        <v>64</v>
      </c>
      <c r="C101" s="55" t="s">
        <v>41</v>
      </c>
      <c r="D101" s="56" t="s">
        <v>210</v>
      </c>
      <c r="E101" s="56" t="s">
        <v>65</v>
      </c>
      <c r="F101" s="57" t="s">
        <v>66</v>
      </c>
      <c r="G101" s="7"/>
    </row>
    <row r="102" spans="1:7" x14ac:dyDescent="0.2">
      <c r="A102" s="14" t="s">
        <v>90</v>
      </c>
      <c r="B102" s="15" t="s">
        <v>34</v>
      </c>
      <c r="C102" s="86">
        <v>1</v>
      </c>
      <c r="D102" s="84">
        <v>5.2</v>
      </c>
      <c r="E102" s="16"/>
      <c r="G102" s="7"/>
    </row>
    <row r="103" spans="1:7" x14ac:dyDescent="0.2">
      <c r="A103" s="14" t="s">
        <v>91</v>
      </c>
      <c r="B103" s="15" t="s">
        <v>92</v>
      </c>
      <c r="C103" s="83">
        <v>25</v>
      </c>
      <c r="D103" s="16"/>
      <c r="E103" s="16"/>
      <c r="G103" s="7"/>
    </row>
    <row r="104" spans="1:7" x14ac:dyDescent="0.2">
      <c r="A104" s="14" t="s">
        <v>73</v>
      </c>
      <c r="B104" s="15" t="s">
        <v>9</v>
      </c>
      <c r="C104" s="34">
        <f>C63*C103*2</f>
        <v>100</v>
      </c>
      <c r="D104" s="13">
        <f>IFERROR((($C$103*2*$D$102)-(E55*0.06*C103/26))/($C$103*2),"-")</f>
        <v>2.950103846153846</v>
      </c>
      <c r="E104" s="16">
        <f>IFERROR(C104*D104,"-")</f>
        <v>295.01038461538462</v>
      </c>
      <c r="G104" s="7"/>
    </row>
    <row r="105" spans="1:7" ht="13.5" thickBot="1" x14ac:dyDescent="0.25">
      <c r="A105" s="11" t="s">
        <v>45</v>
      </c>
      <c r="B105" s="12" t="s">
        <v>9</v>
      </c>
      <c r="C105" s="34">
        <f>C97*C103*2</f>
        <v>50</v>
      </c>
      <c r="D105" s="13">
        <f>IFERROR((($C$103*2*$D$102)-(E87*0.06*C103/26))/($C$103*2),"-")</f>
        <v>2.6808807999999997</v>
      </c>
      <c r="E105" s="13">
        <f>IFERROR(C105*D105,"-")</f>
        <v>134.04404</v>
      </c>
      <c r="G105" s="7"/>
    </row>
    <row r="106" spans="1:7" ht="13.5" thickBot="1" x14ac:dyDescent="0.25">
      <c r="F106" s="20">
        <f>SUM(E104:E105)</f>
        <v>429.05442461538462</v>
      </c>
      <c r="G106" s="7"/>
    </row>
    <row r="107" spans="1:7" x14ac:dyDescent="0.2">
      <c r="G107" s="7"/>
    </row>
    <row r="108" spans="1:7" ht="13.5" thickBot="1" x14ac:dyDescent="0.25">
      <c r="A108" s="5" t="s">
        <v>415</v>
      </c>
      <c r="F108" s="21"/>
      <c r="G108" s="7"/>
    </row>
    <row r="109" spans="1:7" ht="13.5" thickBot="1" x14ac:dyDescent="0.25">
      <c r="A109" s="54" t="s">
        <v>63</v>
      </c>
      <c r="B109" s="55" t="s">
        <v>64</v>
      </c>
      <c r="C109" s="55" t="s">
        <v>41</v>
      </c>
      <c r="D109" s="56" t="s">
        <v>210</v>
      </c>
      <c r="E109" s="56" t="s">
        <v>65</v>
      </c>
      <c r="F109" s="57" t="s">
        <v>66</v>
      </c>
      <c r="G109" s="7"/>
    </row>
    <row r="110" spans="1:7" x14ac:dyDescent="0.2">
      <c r="A110" s="14" t="str">
        <f>+A104</f>
        <v>Coletor</v>
      </c>
      <c r="B110" s="15" t="s">
        <v>10</v>
      </c>
      <c r="C110" s="93">
        <f>C63*C103</f>
        <v>50</v>
      </c>
      <c r="D110" s="331">
        <f>(25.42*0.81)</f>
        <v>20.590200000000003</v>
      </c>
      <c r="E110" s="47">
        <f>C110*D110</f>
        <v>1029.5100000000002</v>
      </c>
      <c r="F110" s="21"/>
      <c r="G110" s="7"/>
    </row>
    <row r="111" spans="1:7" x14ac:dyDescent="0.2">
      <c r="A111" s="14" t="str">
        <f>+A105</f>
        <v>Motorista</v>
      </c>
      <c r="B111" s="15" t="s">
        <v>10</v>
      </c>
      <c r="C111" s="93">
        <f>C97*C103</f>
        <v>25</v>
      </c>
      <c r="D111" s="331">
        <f>16.52*0.8</f>
        <v>13.216000000000001</v>
      </c>
      <c r="E111" s="47">
        <f>C111*D111</f>
        <v>330.40000000000003</v>
      </c>
      <c r="F111" s="21"/>
      <c r="G111" s="7"/>
    </row>
    <row r="112" spans="1:7" ht="13.5" thickBot="1" x14ac:dyDescent="0.25">
      <c r="A112" s="279" t="s">
        <v>410</v>
      </c>
      <c r="B112" s="15" t="s">
        <v>10</v>
      </c>
      <c r="C112" s="93">
        <v>3</v>
      </c>
      <c r="D112" s="331">
        <f>(25.42*0.81)</f>
        <v>20.590200000000003</v>
      </c>
      <c r="E112" s="47">
        <f>C112*D112</f>
        <v>61.770600000000009</v>
      </c>
      <c r="F112" s="21"/>
      <c r="G112" s="7"/>
    </row>
    <row r="113" spans="1:7" ht="13.5" thickBot="1" x14ac:dyDescent="0.25">
      <c r="F113" s="20">
        <f>SUM(E110:E111)</f>
        <v>1359.9100000000003</v>
      </c>
      <c r="G113" s="7"/>
    </row>
    <row r="114" spans="1:7" x14ac:dyDescent="0.2">
      <c r="G114" s="7"/>
    </row>
    <row r="115" spans="1:7" ht="13.5" thickBot="1" x14ac:dyDescent="0.25">
      <c r="A115" s="5" t="s">
        <v>416</v>
      </c>
      <c r="F115" s="21"/>
      <c r="G115" s="7"/>
    </row>
    <row r="116" spans="1:7" ht="13.5" thickBot="1" x14ac:dyDescent="0.25">
      <c r="A116" s="54" t="s">
        <v>63</v>
      </c>
      <c r="B116" s="55" t="s">
        <v>64</v>
      </c>
      <c r="C116" s="55" t="s">
        <v>41</v>
      </c>
      <c r="D116" s="56" t="s">
        <v>210</v>
      </c>
      <c r="E116" s="56" t="s">
        <v>65</v>
      </c>
      <c r="F116" s="57" t="s">
        <v>66</v>
      </c>
      <c r="G116" s="7"/>
    </row>
    <row r="117" spans="1:7" s="5" customFormat="1" x14ac:dyDescent="0.2">
      <c r="A117" s="279" t="s">
        <v>455</v>
      </c>
      <c r="B117" s="308" t="s">
        <v>10</v>
      </c>
      <c r="C117" s="332">
        <v>1</v>
      </c>
      <c r="D117" s="331">
        <f>125.35*0.8</f>
        <v>100.28</v>
      </c>
      <c r="E117" s="333">
        <f>C117*D117</f>
        <v>100.28</v>
      </c>
      <c r="F117" s="21"/>
    </row>
    <row r="118" spans="1:7" s="5" customFormat="1" ht="13.5" thickBot="1" x14ac:dyDescent="0.25">
      <c r="A118" s="279" t="s">
        <v>411</v>
      </c>
      <c r="B118" s="308" t="s">
        <v>64</v>
      </c>
      <c r="C118" s="332">
        <f>C117</f>
        <v>1</v>
      </c>
      <c r="D118" s="331">
        <v>88</v>
      </c>
      <c r="E118" s="333">
        <f>C118*D118</f>
        <v>88</v>
      </c>
      <c r="F118" s="21"/>
    </row>
    <row r="119" spans="1:7" ht="13.5" thickBot="1" x14ac:dyDescent="0.25">
      <c r="D119" s="114" t="s">
        <v>176</v>
      </c>
      <c r="E119" s="266">
        <f>$B$50</f>
        <v>0.99999999545454543</v>
      </c>
      <c r="F119" s="20">
        <f>SUM(E117:E118)*E119</f>
        <v>188.2799991441818</v>
      </c>
      <c r="G119" s="7"/>
    </row>
    <row r="120" spans="1:7" x14ac:dyDescent="0.2">
      <c r="D120" s="114"/>
      <c r="E120" s="312"/>
      <c r="G120" s="7"/>
    </row>
    <row r="121" spans="1:7" s="5" customFormat="1" ht="13.5" thickBot="1" x14ac:dyDescent="0.25">
      <c r="A121" s="5" t="s">
        <v>417</v>
      </c>
      <c r="D121" s="309"/>
      <c r="E121" s="309"/>
      <c r="F121" s="21"/>
    </row>
    <row r="122" spans="1:7" s="5" customFormat="1" ht="13.5" thickBot="1" x14ac:dyDescent="0.25">
      <c r="A122" s="54" t="s">
        <v>63</v>
      </c>
      <c r="B122" s="55" t="s">
        <v>64</v>
      </c>
      <c r="C122" s="55" t="s">
        <v>41</v>
      </c>
      <c r="D122" s="56" t="s">
        <v>210</v>
      </c>
      <c r="E122" s="56" t="s">
        <v>65</v>
      </c>
      <c r="F122" s="57" t="s">
        <v>66</v>
      </c>
    </row>
    <row r="123" spans="1:7" s="5" customFormat="1" ht="13.5" thickBot="1" x14ac:dyDescent="0.25">
      <c r="A123" s="279" t="s">
        <v>412</v>
      </c>
      <c r="B123" s="308" t="s">
        <v>10</v>
      </c>
      <c r="C123" s="334">
        <f>C63</f>
        <v>2</v>
      </c>
      <c r="D123" s="335">
        <v>24.1</v>
      </c>
      <c r="E123" s="336">
        <f>C123*D123</f>
        <v>48.2</v>
      </c>
      <c r="F123" s="21"/>
    </row>
    <row r="124" spans="1:7" s="5" customFormat="1" ht="13.5" hidden="1" thickBot="1" x14ac:dyDescent="0.25">
      <c r="A124" s="279"/>
      <c r="B124" s="308" t="s">
        <v>10</v>
      </c>
      <c r="C124" s="334">
        <v>0</v>
      </c>
      <c r="D124" s="335">
        <v>0</v>
      </c>
      <c r="E124" s="336"/>
      <c r="F124" s="21"/>
    </row>
    <row r="125" spans="1:7" s="5" customFormat="1" ht="13.5" thickBot="1" x14ac:dyDescent="0.25">
      <c r="A125" s="337"/>
      <c r="B125" s="337"/>
      <c r="D125" s="338" t="s">
        <v>413</v>
      </c>
      <c r="E125" s="339">
        <f>E64</f>
        <v>0.99999999545454543</v>
      </c>
      <c r="F125" s="340">
        <f>SUM(E123:E124)*E125</f>
        <v>48.199999780909096</v>
      </c>
    </row>
    <row r="126" spans="1:7" ht="13.5" thickBot="1" x14ac:dyDescent="0.25">
      <c r="G126" s="7"/>
    </row>
    <row r="127" spans="1:7" ht="13.5" thickBot="1" x14ac:dyDescent="0.25">
      <c r="A127" s="22" t="s">
        <v>93</v>
      </c>
      <c r="B127" s="23"/>
      <c r="C127" s="23"/>
      <c r="D127" s="24"/>
      <c r="E127" s="25"/>
      <c r="F127" s="20">
        <f>F98+F83+F64+F106+F113+F119+F125</f>
        <v>17164.001015545371</v>
      </c>
      <c r="G127" s="7"/>
    </row>
    <row r="129" spans="1:7" x14ac:dyDescent="0.2">
      <c r="A129" s="9" t="s">
        <v>46</v>
      </c>
      <c r="G129" s="7"/>
    </row>
    <row r="130" spans="1:7" ht="13.9" customHeight="1" thickBot="1" x14ac:dyDescent="0.25">
      <c r="A130" s="7" t="s">
        <v>178</v>
      </c>
      <c r="G130" s="7"/>
    </row>
    <row r="131" spans="1:7" ht="27.75" customHeight="1" thickBot="1" x14ac:dyDescent="0.25">
      <c r="A131" s="54" t="s">
        <v>63</v>
      </c>
      <c r="B131" s="55" t="s">
        <v>64</v>
      </c>
      <c r="C131" s="229" t="s">
        <v>225</v>
      </c>
      <c r="D131" s="56" t="s">
        <v>210</v>
      </c>
      <c r="E131" s="56" t="s">
        <v>65</v>
      </c>
      <c r="F131" s="57" t="s">
        <v>66</v>
      </c>
      <c r="G131" s="7"/>
    </row>
    <row r="132" spans="1:7" x14ac:dyDescent="0.2">
      <c r="A132" s="257" t="s">
        <v>67</v>
      </c>
      <c r="B132" s="281" t="s">
        <v>10</v>
      </c>
      <c r="C132" s="396">
        <v>12</v>
      </c>
      <c r="D132" s="264">
        <v>170</v>
      </c>
      <c r="E132" s="345">
        <f t="shared" ref="E132:E144" si="1">IFERROR(D132/C132,0)</f>
        <v>14.166666666666666</v>
      </c>
      <c r="G132" s="7"/>
    </row>
    <row r="133" spans="1:7" ht="13.15" customHeight="1" x14ac:dyDescent="0.2">
      <c r="A133" s="279" t="s">
        <v>30</v>
      </c>
      <c r="B133" s="308" t="s">
        <v>10</v>
      </c>
      <c r="C133" s="396">
        <v>6</v>
      </c>
      <c r="D133" s="264">
        <v>75</v>
      </c>
      <c r="E133" s="345">
        <f t="shared" si="1"/>
        <v>12.5</v>
      </c>
      <c r="G133" s="7"/>
    </row>
    <row r="134" spans="1:7" x14ac:dyDescent="0.2">
      <c r="A134" s="279" t="s">
        <v>490</v>
      </c>
      <c r="B134" s="308" t="s">
        <v>10</v>
      </c>
      <c r="C134" s="396">
        <v>4</v>
      </c>
      <c r="D134" s="397">
        <v>45</v>
      </c>
      <c r="E134" s="345">
        <f t="shared" si="1"/>
        <v>11.25</v>
      </c>
      <c r="G134" s="7"/>
    </row>
    <row r="135" spans="1:7" ht="13.15" customHeight="1" x14ac:dyDescent="0.2">
      <c r="A135" s="279" t="s">
        <v>491</v>
      </c>
      <c r="B135" s="308" t="s">
        <v>10</v>
      </c>
      <c r="C135" s="396">
        <v>4</v>
      </c>
      <c r="D135" s="397">
        <v>43</v>
      </c>
      <c r="E135" s="345">
        <f t="shared" si="1"/>
        <v>10.75</v>
      </c>
      <c r="G135" s="7"/>
    </row>
    <row r="136" spans="1:7" ht="13.9" customHeight="1" x14ac:dyDescent="0.2">
      <c r="A136" s="279" t="s">
        <v>492</v>
      </c>
      <c r="B136" s="308" t="s">
        <v>10</v>
      </c>
      <c r="C136" s="396">
        <v>6</v>
      </c>
      <c r="D136" s="264">
        <v>48</v>
      </c>
      <c r="E136" s="345">
        <f t="shared" si="1"/>
        <v>8</v>
      </c>
      <c r="G136" s="7"/>
    </row>
    <row r="137" spans="1:7" ht="13.15" customHeight="1" x14ac:dyDescent="0.2">
      <c r="A137" s="279" t="s">
        <v>493</v>
      </c>
      <c r="B137" s="308" t="s">
        <v>10</v>
      </c>
      <c r="C137" s="396">
        <v>6</v>
      </c>
      <c r="D137" s="264">
        <v>50</v>
      </c>
      <c r="E137" s="345">
        <f t="shared" si="1"/>
        <v>8.3333333333333339</v>
      </c>
    </row>
    <row r="138" spans="1:7" x14ac:dyDescent="0.2">
      <c r="A138" s="279" t="s">
        <v>494</v>
      </c>
      <c r="B138" s="308" t="s">
        <v>49</v>
      </c>
      <c r="C138" s="396">
        <v>6</v>
      </c>
      <c r="D138" s="264">
        <v>75</v>
      </c>
      <c r="E138" s="345">
        <f t="shared" si="1"/>
        <v>12.5</v>
      </c>
    </row>
    <row r="139" spans="1:7" s="1" customFormat="1" x14ac:dyDescent="0.2">
      <c r="A139" s="279" t="s">
        <v>94</v>
      </c>
      <c r="B139" s="308" t="s">
        <v>49</v>
      </c>
      <c r="C139" s="396">
        <v>2</v>
      </c>
      <c r="D139" s="264">
        <v>12</v>
      </c>
      <c r="E139" s="345">
        <f t="shared" si="1"/>
        <v>6</v>
      </c>
      <c r="F139" s="35"/>
      <c r="G139" s="35"/>
    </row>
    <row r="140" spans="1:7" x14ac:dyDescent="0.2">
      <c r="A140" s="279" t="s">
        <v>68</v>
      </c>
      <c r="B140" s="308" t="s">
        <v>10</v>
      </c>
      <c r="C140" s="396">
        <v>6</v>
      </c>
      <c r="D140" s="264">
        <v>55</v>
      </c>
      <c r="E140" s="345">
        <f t="shared" si="1"/>
        <v>9.1666666666666661</v>
      </c>
    </row>
    <row r="141" spans="1:7" ht="13.15" customHeight="1" x14ac:dyDescent="0.2">
      <c r="A141" s="346" t="s">
        <v>11</v>
      </c>
      <c r="B141" s="347" t="s">
        <v>10</v>
      </c>
      <c r="C141" s="396">
        <v>6</v>
      </c>
      <c r="D141" s="264">
        <v>33</v>
      </c>
      <c r="E141" s="345">
        <f t="shared" si="1"/>
        <v>5.5</v>
      </c>
    </row>
    <row r="142" spans="1:7" ht="13.15" customHeight="1" x14ac:dyDescent="0.2">
      <c r="A142" s="279" t="s">
        <v>32</v>
      </c>
      <c r="B142" s="308" t="s">
        <v>49</v>
      </c>
      <c r="C142" s="396">
        <v>0.5</v>
      </c>
      <c r="D142" s="264">
        <v>23.7</v>
      </c>
      <c r="E142" s="345">
        <f t="shared" si="1"/>
        <v>47.4</v>
      </c>
    </row>
    <row r="143" spans="1:7" ht="13.15" customHeight="1" x14ac:dyDescent="0.2">
      <c r="A143" s="279" t="s">
        <v>495</v>
      </c>
      <c r="B143" s="308" t="s">
        <v>64</v>
      </c>
      <c r="C143" s="396">
        <v>6</v>
      </c>
      <c r="D143" s="264">
        <v>15</v>
      </c>
      <c r="E143" s="345">
        <f t="shared" si="1"/>
        <v>2.5</v>
      </c>
    </row>
    <row r="144" spans="1:7" ht="13.15" customHeight="1" x14ac:dyDescent="0.2">
      <c r="A144" s="279" t="s">
        <v>62</v>
      </c>
      <c r="B144" s="308" t="s">
        <v>50</v>
      </c>
      <c r="C144" s="396">
        <v>2</v>
      </c>
      <c r="D144" s="264">
        <v>26</v>
      </c>
      <c r="E144" s="345">
        <f t="shared" si="1"/>
        <v>13</v>
      </c>
    </row>
    <row r="145" spans="1:7" ht="13.5" thickBot="1" x14ac:dyDescent="0.25">
      <c r="A145" s="14" t="s">
        <v>5</v>
      </c>
      <c r="B145" s="15" t="s">
        <v>6</v>
      </c>
      <c r="C145" s="63">
        <f>E42</f>
        <v>2</v>
      </c>
      <c r="D145" s="16">
        <f>+SUM(E132:E144)</f>
        <v>161.06666666666666</v>
      </c>
      <c r="E145" s="16">
        <f t="shared" ref="E145" si="2">C145*D145</f>
        <v>322.13333333333333</v>
      </c>
    </row>
    <row r="146" spans="1:7" ht="13.5" thickBot="1" x14ac:dyDescent="0.25">
      <c r="D146" s="114" t="s">
        <v>176</v>
      </c>
      <c r="E146" s="266">
        <f>E64</f>
        <v>0.99999999545454543</v>
      </c>
      <c r="F146" s="115">
        <f>E145*E146</f>
        <v>322.13333186909091</v>
      </c>
    </row>
    <row r="147" spans="1:7" ht="11.25" customHeight="1" x14ac:dyDescent="0.2"/>
    <row r="148" spans="1:7" ht="13.9" customHeight="1" thickBot="1" x14ac:dyDescent="0.25">
      <c r="A148" s="7" t="s">
        <v>179</v>
      </c>
    </row>
    <row r="149" spans="1:7" ht="24.75" thickBot="1" x14ac:dyDescent="0.25">
      <c r="A149" s="54" t="s">
        <v>63</v>
      </c>
      <c r="B149" s="55" t="s">
        <v>64</v>
      </c>
      <c r="C149" s="229" t="s">
        <v>225</v>
      </c>
      <c r="D149" s="56" t="s">
        <v>210</v>
      </c>
      <c r="E149" s="56" t="s">
        <v>65</v>
      </c>
      <c r="F149" s="57" t="s">
        <v>66</v>
      </c>
    </row>
    <row r="150" spans="1:7" x14ac:dyDescent="0.2">
      <c r="A150" s="257" t="s">
        <v>67</v>
      </c>
      <c r="B150" s="281" t="s">
        <v>10</v>
      </c>
      <c r="C150" s="396">
        <v>12</v>
      </c>
      <c r="D150" s="264">
        <f>D132</f>
        <v>170</v>
      </c>
      <c r="E150" s="345">
        <f t="shared" ref="E150:E156" si="3">IFERROR(D150/C150,0)</f>
        <v>14.166666666666666</v>
      </c>
    </row>
    <row r="151" spans="1:7" x14ac:dyDescent="0.2">
      <c r="A151" s="279" t="s">
        <v>30</v>
      </c>
      <c r="B151" s="308" t="s">
        <v>10</v>
      </c>
      <c r="C151" s="396">
        <v>6</v>
      </c>
      <c r="D151" s="264">
        <f>D133</f>
        <v>75</v>
      </c>
      <c r="E151" s="345">
        <f t="shared" si="3"/>
        <v>12.5</v>
      </c>
    </row>
    <row r="152" spans="1:7" x14ac:dyDescent="0.2">
      <c r="A152" s="279" t="s">
        <v>31</v>
      </c>
      <c r="B152" s="308" t="s">
        <v>10</v>
      </c>
      <c r="C152" s="396">
        <v>4</v>
      </c>
      <c r="D152" s="264">
        <f>D134</f>
        <v>45</v>
      </c>
      <c r="E152" s="345">
        <f t="shared" si="3"/>
        <v>11.25</v>
      </c>
    </row>
    <row r="153" spans="1:7" x14ac:dyDescent="0.2">
      <c r="A153" s="279" t="s">
        <v>494</v>
      </c>
      <c r="B153" s="308" t="s">
        <v>49</v>
      </c>
      <c r="C153" s="396">
        <v>4</v>
      </c>
      <c r="D153" s="264">
        <f>D138</f>
        <v>75</v>
      </c>
      <c r="E153" s="345">
        <f t="shared" si="3"/>
        <v>18.75</v>
      </c>
    </row>
    <row r="154" spans="1:7" x14ac:dyDescent="0.2">
      <c r="A154" s="279" t="s">
        <v>68</v>
      </c>
      <c r="B154" s="308" t="s">
        <v>10</v>
      </c>
      <c r="C154" s="396">
        <v>6</v>
      </c>
      <c r="D154" s="264">
        <f>D140</f>
        <v>55</v>
      </c>
      <c r="E154" s="345">
        <f t="shared" si="3"/>
        <v>9.1666666666666661</v>
      </c>
      <c r="G154" s="7"/>
    </row>
    <row r="155" spans="1:7" x14ac:dyDescent="0.2">
      <c r="A155" s="279" t="s">
        <v>495</v>
      </c>
      <c r="B155" s="308" t="s">
        <v>64</v>
      </c>
      <c r="C155" s="396">
        <v>6</v>
      </c>
      <c r="D155" s="264">
        <f>D143</f>
        <v>15</v>
      </c>
      <c r="E155" s="345">
        <f t="shared" si="3"/>
        <v>2.5</v>
      </c>
      <c r="G155" s="7"/>
    </row>
    <row r="156" spans="1:7" x14ac:dyDescent="0.2">
      <c r="A156" s="279" t="s">
        <v>62</v>
      </c>
      <c r="B156" s="308" t="s">
        <v>50</v>
      </c>
      <c r="C156" s="396">
        <v>2</v>
      </c>
      <c r="D156" s="264">
        <f>D144</f>
        <v>26</v>
      </c>
      <c r="E156" s="345">
        <f t="shared" si="3"/>
        <v>13</v>
      </c>
      <c r="G156" s="7"/>
    </row>
    <row r="157" spans="1:7" ht="13.5" thickBot="1" x14ac:dyDescent="0.25">
      <c r="A157" s="14" t="s">
        <v>5</v>
      </c>
      <c r="B157" s="15" t="s">
        <v>6</v>
      </c>
      <c r="C157" s="63">
        <f>E44</f>
        <v>1</v>
      </c>
      <c r="D157" s="16">
        <f>+SUM(E150:E156)</f>
        <v>81.333333333333329</v>
      </c>
      <c r="E157" s="16">
        <f t="shared" ref="E157" si="4">C157*D157</f>
        <v>81.333333333333329</v>
      </c>
      <c r="G157" s="7"/>
    </row>
    <row r="158" spans="1:7" ht="13.5" thickBot="1" x14ac:dyDescent="0.25">
      <c r="D158" s="114" t="s">
        <v>176</v>
      </c>
      <c r="E158" s="266">
        <f>E98</f>
        <v>0.99999999545454543</v>
      </c>
      <c r="F158" s="115">
        <f>E157*E158</f>
        <v>81.333332963636352</v>
      </c>
      <c r="G158" s="7"/>
    </row>
    <row r="159" spans="1:7" ht="11.25" customHeight="1" thickBot="1" x14ac:dyDescent="0.25">
      <c r="G159" s="7"/>
    </row>
    <row r="160" spans="1:7" ht="13.5" thickBot="1" x14ac:dyDescent="0.25">
      <c r="A160" s="22" t="s">
        <v>180</v>
      </c>
      <c r="B160" s="26"/>
      <c r="C160" s="26"/>
      <c r="D160" s="27"/>
      <c r="E160" s="28"/>
      <c r="F160" s="19">
        <f>+F146+F158</f>
        <v>403.46666483272725</v>
      </c>
      <c r="G160" s="7"/>
    </row>
    <row r="161" spans="1:10" ht="11.25" customHeight="1" x14ac:dyDescent="0.2">
      <c r="G161" s="7"/>
    </row>
    <row r="162" spans="1:10" x14ac:dyDescent="0.2">
      <c r="A162" s="9" t="s">
        <v>55</v>
      </c>
      <c r="G162" s="7"/>
    </row>
    <row r="163" spans="1:10" x14ac:dyDescent="0.2">
      <c r="A163" s="5" t="s">
        <v>304</v>
      </c>
      <c r="G163" s="7"/>
    </row>
    <row r="164" spans="1:10" ht="13.5" thickBot="1" x14ac:dyDescent="0.25">
      <c r="A164" s="98" t="s">
        <v>47</v>
      </c>
      <c r="G164" s="7"/>
    </row>
    <row r="165" spans="1:10" ht="13.5" thickBot="1" x14ac:dyDescent="0.25">
      <c r="A165" s="54" t="s">
        <v>63</v>
      </c>
      <c r="B165" s="55" t="s">
        <v>64</v>
      </c>
      <c r="C165" s="55" t="s">
        <v>41</v>
      </c>
      <c r="D165" s="56" t="s">
        <v>210</v>
      </c>
      <c r="E165" s="56" t="s">
        <v>65</v>
      </c>
      <c r="F165" s="57" t="s">
        <v>66</v>
      </c>
      <c r="G165" s="7"/>
    </row>
    <row r="166" spans="1:10" x14ac:dyDescent="0.2">
      <c r="A166" s="11" t="s">
        <v>106</v>
      </c>
      <c r="B166" s="12" t="s">
        <v>10</v>
      </c>
      <c r="C166" s="12">
        <v>1</v>
      </c>
      <c r="D166" s="79">
        <v>160000</v>
      </c>
      <c r="E166" s="13">
        <f>C166*D166</f>
        <v>160000</v>
      </c>
      <c r="G166" s="7"/>
    </row>
    <row r="167" spans="1:10" x14ac:dyDescent="0.2">
      <c r="A167" s="14" t="s">
        <v>103</v>
      </c>
      <c r="B167" s="15" t="s">
        <v>104</v>
      </c>
      <c r="C167" s="78">
        <v>10</v>
      </c>
      <c r="D167" s="75"/>
      <c r="E167" s="16"/>
      <c r="G167" s="7"/>
    </row>
    <row r="168" spans="1:10" x14ac:dyDescent="0.2">
      <c r="A168" s="14" t="s">
        <v>187</v>
      </c>
      <c r="B168" s="15" t="s">
        <v>104</v>
      </c>
      <c r="C168" s="78"/>
      <c r="D168" s="16"/>
      <c r="E168" s="16"/>
      <c r="F168" s="18"/>
      <c r="I168" s="77"/>
      <c r="J168" s="77"/>
    </row>
    <row r="169" spans="1:10" x14ac:dyDescent="0.2">
      <c r="A169" s="14" t="s">
        <v>105</v>
      </c>
      <c r="B169" s="15" t="s">
        <v>2</v>
      </c>
      <c r="C169" s="129">
        <f>IFERROR(VLOOKUP(C167,'8. Depreciação'!A3:B17,2,FALSE),0)</f>
        <v>65.180000000000007</v>
      </c>
      <c r="D169" s="16">
        <f>E166</f>
        <v>160000</v>
      </c>
      <c r="E169" s="16">
        <f>C169*D169/100</f>
        <v>104288.00000000001</v>
      </c>
    </row>
    <row r="170" spans="1:10" ht="13.5" thickBot="1" x14ac:dyDescent="0.25">
      <c r="A170" s="236" t="s">
        <v>51</v>
      </c>
      <c r="B170" s="237" t="s">
        <v>8</v>
      </c>
      <c r="C170" s="237">
        <f>C167*12</f>
        <v>120</v>
      </c>
      <c r="D170" s="238">
        <f>IF(C168&lt;=C167,E169,0)</f>
        <v>104288.00000000001</v>
      </c>
      <c r="E170" s="238">
        <f>IFERROR(D170/C170,0)</f>
        <v>869.06666666666683</v>
      </c>
    </row>
    <row r="171" spans="1:10" ht="13.5" thickTop="1" x14ac:dyDescent="0.2">
      <c r="A171" s="257" t="s">
        <v>396</v>
      </c>
      <c r="B171" s="12" t="s">
        <v>10</v>
      </c>
      <c r="C171" s="12">
        <f>C166</f>
        <v>1</v>
      </c>
      <c r="D171" s="79">
        <v>65000</v>
      </c>
      <c r="E171" s="13">
        <f>C171*D171</f>
        <v>65000</v>
      </c>
      <c r="G171" s="7"/>
    </row>
    <row r="172" spans="1:10" x14ac:dyDescent="0.2">
      <c r="A172" s="279" t="s">
        <v>397</v>
      </c>
      <c r="B172" s="15" t="s">
        <v>104</v>
      </c>
      <c r="C172" s="78">
        <v>10</v>
      </c>
      <c r="D172" s="16"/>
      <c r="E172" s="16"/>
      <c r="G172" s="103"/>
    </row>
    <row r="173" spans="1:10" x14ac:dyDescent="0.2">
      <c r="A173" s="279" t="s">
        <v>398</v>
      </c>
      <c r="B173" s="15" t="s">
        <v>104</v>
      </c>
      <c r="C173" s="78"/>
      <c r="D173" s="16"/>
      <c r="E173" s="16"/>
      <c r="F173" s="18"/>
      <c r="I173" s="77"/>
      <c r="J173" s="77"/>
    </row>
    <row r="174" spans="1:10" x14ac:dyDescent="0.2">
      <c r="A174" s="279" t="s">
        <v>399</v>
      </c>
      <c r="B174" s="15" t="s">
        <v>2</v>
      </c>
      <c r="C174" s="130">
        <f>IFERROR(VLOOKUP(C172,'8. Depreciação'!A3:B17,2,FALSE),0)</f>
        <v>65.180000000000007</v>
      </c>
      <c r="D174" s="16">
        <f>E171</f>
        <v>65000</v>
      </c>
      <c r="E174" s="16">
        <f>C174*D174/100</f>
        <v>42367</v>
      </c>
    </row>
    <row r="175" spans="1:10" x14ac:dyDescent="0.2">
      <c r="A175" s="94" t="s">
        <v>400</v>
      </c>
      <c r="B175" s="95" t="s">
        <v>8</v>
      </c>
      <c r="C175" s="95">
        <f>C172*12</f>
        <v>120</v>
      </c>
      <c r="D175" s="96">
        <f>IF(C173&lt;=C172,E174,0)</f>
        <v>42367</v>
      </c>
      <c r="E175" s="96">
        <f>IFERROR(D175/C175,0)</f>
        <v>353.05833333333334</v>
      </c>
    </row>
    <row r="176" spans="1:10" x14ac:dyDescent="0.2">
      <c r="A176" s="94" t="s">
        <v>419</v>
      </c>
      <c r="B176" s="95" t="s">
        <v>407</v>
      </c>
      <c r="C176" s="95"/>
      <c r="D176" s="96"/>
      <c r="E176" s="96">
        <f>(E170+E175)*0.1</f>
        <v>122.21250000000003</v>
      </c>
    </row>
    <row r="177" spans="1:10" x14ac:dyDescent="0.2">
      <c r="A177" s="108" t="s">
        <v>228</v>
      </c>
      <c r="B177" s="109"/>
      <c r="C177" s="109"/>
      <c r="D177" s="110"/>
      <c r="E177" s="111">
        <f>E170+E175+E176</f>
        <v>1344.3375000000003</v>
      </c>
    </row>
    <row r="178" spans="1:10" ht="13.5" thickBot="1" x14ac:dyDescent="0.25">
      <c r="A178" s="94" t="s">
        <v>229</v>
      </c>
      <c r="B178" s="95" t="s">
        <v>10</v>
      </c>
      <c r="C178" s="78">
        <v>1</v>
      </c>
      <c r="D178" s="96">
        <f>E177</f>
        <v>1344.3375000000003</v>
      </c>
      <c r="E178" s="111">
        <f>C178*D178</f>
        <v>1344.3375000000003</v>
      </c>
    </row>
    <row r="179" spans="1:10" ht="13.5" thickBot="1" x14ac:dyDescent="0.25">
      <c r="A179" s="234"/>
      <c r="B179" s="234"/>
      <c r="C179" s="234"/>
      <c r="D179" s="114" t="s">
        <v>176</v>
      </c>
      <c r="E179" s="266">
        <f>$B$50</f>
        <v>0.99999999545454543</v>
      </c>
      <c r="F179" s="19">
        <f>E178*E179</f>
        <v>1344.3374938893753</v>
      </c>
    </row>
    <row r="180" spans="1:10" ht="11.25" customHeight="1" x14ac:dyDescent="0.2"/>
    <row r="181" spans="1:10" ht="13.5" thickBot="1" x14ac:dyDescent="0.25">
      <c r="A181" s="98" t="s">
        <v>111</v>
      </c>
    </row>
    <row r="182" spans="1:10" ht="13.5" thickBot="1" x14ac:dyDescent="0.25">
      <c r="A182" s="100" t="s">
        <v>63</v>
      </c>
      <c r="B182" s="101" t="s">
        <v>64</v>
      </c>
      <c r="C182" s="101" t="s">
        <v>41</v>
      </c>
      <c r="D182" s="56" t="s">
        <v>210</v>
      </c>
      <c r="E182" s="102" t="s">
        <v>65</v>
      </c>
      <c r="F182" s="57" t="s">
        <v>66</v>
      </c>
      <c r="I182" s="77"/>
      <c r="J182" s="77"/>
    </row>
    <row r="183" spans="1:10" x14ac:dyDescent="0.2">
      <c r="A183" s="14" t="s">
        <v>109</v>
      </c>
      <c r="B183" s="15" t="s">
        <v>10</v>
      </c>
      <c r="C183" s="15">
        <v>1</v>
      </c>
      <c r="D183" s="16">
        <f>D166</f>
        <v>160000</v>
      </c>
      <c r="E183" s="16">
        <f>C183*D183</f>
        <v>160000</v>
      </c>
      <c r="F183" s="18"/>
      <c r="I183" s="77"/>
      <c r="J183" s="77"/>
    </row>
    <row r="184" spans="1:10" x14ac:dyDescent="0.2">
      <c r="A184" s="14" t="s">
        <v>190</v>
      </c>
      <c r="B184" s="15" t="s">
        <v>2</v>
      </c>
      <c r="C184" s="80">
        <v>12</v>
      </c>
      <c r="D184" s="16"/>
      <c r="E184" s="16"/>
      <c r="F184" s="18"/>
      <c r="I184" s="77"/>
      <c r="J184" s="77"/>
    </row>
    <row r="185" spans="1:10" x14ac:dyDescent="0.2">
      <c r="A185" s="14" t="s">
        <v>188</v>
      </c>
      <c r="B185" s="15" t="s">
        <v>34</v>
      </c>
      <c r="C185" s="135">
        <f>IFERROR(IF(C168&lt;=C167,E166-(C169/(100*C167)*C168)*E166,E166-E169),0)</f>
        <v>160000</v>
      </c>
      <c r="D185" s="16"/>
      <c r="E185" s="16"/>
      <c r="F185" s="18"/>
      <c r="I185" s="77"/>
      <c r="J185" s="77"/>
    </row>
    <row r="186" spans="1:10" x14ac:dyDescent="0.2">
      <c r="A186" s="14" t="s">
        <v>114</v>
      </c>
      <c r="B186" s="15" t="s">
        <v>34</v>
      </c>
      <c r="C186" s="75">
        <f>IFERROR(IF(C168&gt;=C167,C185,((((C185)-(E166-E169))*(((C167-C168)+1)/(2*(C167-C168))))+(E166-E169))),0)</f>
        <v>113070.39999999999</v>
      </c>
      <c r="D186" s="16"/>
      <c r="E186" s="16"/>
      <c r="F186" s="18"/>
      <c r="I186" s="77"/>
      <c r="J186" s="77"/>
    </row>
    <row r="187" spans="1:10" ht="13.5" thickBot="1" x14ac:dyDescent="0.25">
      <c r="A187" s="236" t="s">
        <v>115</v>
      </c>
      <c r="B187" s="237" t="s">
        <v>34</v>
      </c>
      <c r="C187" s="237"/>
      <c r="D187" s="239">
        <f>C184*C186/12/100</f>
        <v>1130.7039999999997</v>
      </c>
      <c r="E187" s="238">
        <f>D187</f>
        <v>1130.7039999999997</v>
      </c>
      <c r="F187" s="18"/>
      <c r="I187" s="77"/>
      <c r="J187" s="77"/>
    </row>
    <row r="188" spans="1:10" ht="13.5" thickTop="1" x14ac:dyDescent="0.2">
      <c r="A188" s="257" t="s">
        <v>401</v>
      </c>
      <c r="B188" s="12" t="s">
        <v>10</v>
      </c>
      <c r="C188" s="12">
        <f>C171</f>
        <v>1</v>
      </c>
      <c r="D188" s="13">
        <f>D171</f>
        <v>65000</v>
      </c>
      <c r="E188" s="13">
        <f>C188*D188</f>
        <v>65000</v>
      </c>
      <c r="F188" s="18"/>
      <c r="I188" s="77"/>
      <c r="J188" s="77"/>
    </row>
    <row r="189" spans="1:10" x14ac:dyDescent="0.2">
      <c r="A189" s="279" t="s">
        <v>190</v>
      </c>
      <c r="B189" s="15" t="s">
        <v>2</v>
      </c>
      <c r="C189" s="15">
        <f>C184</f>
        <v>12</v>
      </c>
      <c r="D189" s="16"/>
      <c r="E189" s="16"/>
      <c r="F189" s="18"/>
      <c r="I189" s="77"/>
      <c r="J189" s="77"/>
    </row>
    <row r="190" spans="1:10" x14ac:dyDescent="0.2">
      <c r="A190" s="14" t="s">
        <v>189</v>
      </c>
      <c r="B190" s="15" t="s">
        <v>34</v>
      </c>
      <c r="C190" s="135">
        <f>IFERROR(IF(C173&lt;=C172,E171-(C174/(100*C172)*C173)*E171,E171-E174),0)</f>
        <v>65000</v>
      </c>
      <c r="D190" s="16"/>
      <c r="E190" s="16"/>
      <c r="F190" s="18"/>
      <c r="I190" s="77"/>
      <c r="J190" s="77"/>
    </row>
    <row r="191" spans="1:10" x14ac:dyDescent="0.2">
      <c r="A191" s="279" t="s">
        <v>402</v>
      </c>
      <c r="B191" s="15" t="s">
        <v>34</v>
      </c>
      <c r="C191" s="75">
        <f>IFERROR(IF(C173&gt;=C172,C190,((((C190)-(E171-E174))*(((C172-C173)+1)/(2*(C172-C173))))+(E171-E174))),0)</f>
        <v>45934.850000000006</v>
      </c>
      <c r="D191" s="16"/>
      <c r="E191" s="16"/>
      <c r="F191" s="18"/>
      <c r="I191" s="77"/>
      <c r="J191" s="77"/>
    </row>
    <row r="192" spans="1:10" x14ac:dyDescent="0.2">
      <c r="A192" s="94" t="s">
        <v>403</v>
      </c>
      <c r="B192" s="95" t="s">
        <v>34</v>
      </c>
      <c r="C192" s="95"/>
      <c r="D192" s="104">
        <f>C189*C191/12/100</f>
        <v>459.34850000000006</v>
      </c>
      <c r="E192" s="96">
        <f>D192</f>
        <v>459.34850000000006</v>
      </c>
      <c r="F192" s="18"/>
      <c r="I192" s="77"/>
      <c r="J192" s="77"/>
    </row>
    <row r="193" spans="1:10" x14ac:dyDescent="0.2">
      <c r="A193" s="108" t="s">
        <v>228</v>
      </c>
      <c r="B193" s="109"/>
      <c r="C193" s="109"/>
      <c r="D193" s="110"/>
      <c r="E193" s="111">
        <f>E187+E192</f>
        <v>1590.0524999999998</v>
      </c>
      <c r="F193" s="18"/>
      <c r="I193" s="77"/>
      <c r="J193" s="77"/>
    </row>
    <row r="194" spans="1:10" ht="13.5" thickBot="1" x14ac:dyDescent="0.25">
      <c r="A194" s="94" t="s">
        <v>229</v>
      </c>
      <c r="B194" s="95" t="s">
        <v>10</v>
      </c>
      <c r="C194" s="15">
        <f>C178</f>
        <v>1</v>
      </c>
      <c r="D194" s="96">
        <f>E193</f>
        <v>1590.0524999999998</v>
      </c>
      <c r="E194" s="111">
        <f>C194*D194</f>
        <v>1590.0524999999998</v>
      </c>
      <c r="F194" s="18"/>
      <c r="I194" s="77"/>
      <c r="J194" s="77"/>
    </row>
    <row r="195" spans="1:10" ht="13.5" thickBot="1" x14ac:dyDescent="0.25">
      <c r="C195" s="17"/>
      <c r="D195" s="114" t="s">
        <v>176</v>
      </c>
      <c r="E195" s="266">
        <f>$B$50</f>
        <v>0.99999999545454543</v>
      </c>
      <c r="F195" s="19">
        <f>E194*E195</f>
        <v>1590.0524927724884</v>
      </c>
      <c r="I195" s="77"/>
      <c r="J195" s="77"/>
    </row>
    <row r="196" spans="1:10" x14ac:dyDescent="0.2">
      <c r="C196" s="17"/>
      <c r="D196" s="114"/>
      <c r="E196" s="312"/>
      <c r="F196" s="313"/>
      <c r="I196" s="77"/>
      <c r="J196" s="77"/>
    </row>
    <row r="197" spans="1:10" ht="13.5" thickBot="1" x14ac:dyDescent="0.25">
      <c r="A197" s="7" t="s">
        <v>52</v>
      </c>
      <c r="I197" s="77"/>
      <c r="J197" s="77"/>
    </row>
    <row r="198" spans="1:10" ht="13.5" thickBot="1" x14ac:dyDescent="0.25">
      <c r="A198" s="54" t="s">
        <v>63</v>
      </c>
      <c r="B198" s="55" t="s">
        <v>64</v>
      </c>
      <c r="C198" s="55" t="s">
        <v>41</v>
      </c>
      <c r="D198" s="56" t="s">
        <v>210</v>
      </c>
      <c r="E198" s="56" t="s">
        <v>65</v>
      </c>
      <c r="F198" s="57" t="s">
        <v>66</v>
      </c>
      <c r="I198" s="77"/>
      <c r="J198" s="77"/>
    </row>
    <row r="199" spans="1:10" x14ac:dyDescent="0.2">
      <c r="A199" s="11" t="s">
        <v>12</v>
      </c>
      <c r="B199" s="12" t="s">
        <v>10</v>
      </c>
      <c r="C199" s="13">
        <f>C178</f>
        <v>1</v>
      </c>
      <c r="D199" s="13">
        <f>0.01*(C185)</f>
        <v>1600</v>
      </c>
      <c r="E199" s="13">
        <f>C199*D199</f>
        <v>1600</v>
      </c>
      <c r="I199" s="77"/>
      <c r="J199" s="77"/>
    </row>
    <row r="200" spans="1:10" x14ac:dyDescent="0.2">
      <c r="A200" s="14" t="s">
        <v>175</v>
      </c>
      <c r="B200" s="15" t="s">
        <v>10</v>
      </c>
      <c r="C200" s="13">
        <f>C178</f>
        <v>1</v>
      </c>
      <c r="D200" s="81">
        <v>109.27</v>
      </c>
      <c r="E200" s="16">
        <f>C200*D200</f>
        <v>109.27</v>
      </c>
      <c r="I200" s="77"/>
      <c r="J200" s="77"/>
    </row>
    <row r="201" spans="1:10" x14ac:dyDescent="0.2">
      <c r="A201" s="14" t="s">
        <v>13</v>
      </c>
      <c r="B201" s="15" t="s">
        <v>10</v>
      </c>
      <c r="C201" s="13">
        <f>C178</f>
        <v>1</v>
      </c>
      <c r="D201" s="81">
        <v>3600</v>
      </c>
      <c r="E201" s="16">
        <f>C201*D201</f>
        <v>3600</v>
      </c>
      <c r="F201" s="29"/>
      <c r="I201" s="77"/>
      <c r="J201" s="77"/>
    </row>
    <row r="202" spans="1:10" ht="13.5" thickBot="1" x14ac:dyDescent="0.25">
      <c r="A202" s="94" t="s">
        <v>14</v>
      </c>
      <c r="B202" s="95" t="s">
        <v>8</v>
      </c>
      <c r="C202" s="95">
        <v>12</v>
      </c>
      <c r="D202" s="96">
        <f>SUM(E199:E201)</f>
        <v>5309.27</v>
      </c>
      <c r="E202" s="96">
        <f>D202/C202</f>
        <v>442.43916666666672</v>
      </c>
      <c r="I202" s="77"/>
      <c r="J202" s="77"/>
    </row>
    <row r="203" spans="1:10" ht="13.5" thickBot="1" x14ac:dyDescent="0.25">
      <c r="D203" s="114" t="s">
        <v>176</v>
      </c>
      <c r="E203" s="266">
        <f>E64</f>
        <v>0.99999999545454543</v>
      </c>
      <c r="F203" s="115">
        <f>E202*E203</f>
        <v>442.43916465557959</v>
      </c>
      <c r="I203" s="77"/>
      <c r="J203" s="77"/>
    </row>
    <row r="204" spans="1:10" ht="11.25" customHeight="1" x14ac:dyDescent="0.2">
      <c r="I204" s="77"/>
      <c r="J204" s="77"/>
    </row>
    <row r="205" spans="1:10" x14ac:dyDescent="0.2">
      <c r="A205" s="7" t="s">
        <v>53</v>
      </c>
      <c r="B205" s="30"/>
      <c r="I205" s="77"/>
      <c r="J205" s="77"/>
    </row>
    <row r="206" spans="1:10" ht="13.5" thickBot="1" x14ac:dyDescent="0.25">
      <c r="A206" s="94" t="s">
        <v>118</v>
      </c>
      <c r="B206" s="348">
        <f>'7.Roteiro'!P32</f>
        <v>1149.442157142857</v>
      </c>
      <c r="I206" s="77"/>
      <c r="J206" s="77"/>
    </row>
    <row r="207" spans="1:10" ht="13.5" thickBot="1" x14ac:dyDescent="0.25">
      <c r="A207" s="54" t="s">
        <v>63</v>
      </c>
      <c r="B207" s="55" t="s">
        <v>64</v>
      </c>
      <c r="C207" s="55" t="s">
        <v>227</v>
      </c>
      <c r="D207" s="56" t="s">
        <v>210</v>
      </c>
      <c r="E207" s="56" t="s">
        <v>65</v>
      </c>
      <c r="F207" s="57" t="s">
        <v>66</v>
      </c>
      <c r="I207" s="77"/>
      <c r="J207" s="77"/>
    </row>
    <row r="208" spans="1:10" x14ac:dyDescent="0.2">
      <c r="A208" s="11" t="s">
        <v>15</v>
      </c>
      <c r="B208" s="12" t="s">
        <v>16</v>
      </c>
      <c r="C208" s="88">
        <v>4</v>
      </c>
      <c r="D208" s="89">
        <v>6.05</v>
      </c>
      <c r="E208" s="13"/>
      <c r="I208" s="77"/>
      <c r="J208" s="77"/>
    </row>
    <row r="209" spans="1:10" x14ac:dyDescent="0.2">
      <c r="A209" s="14" t="s">
        <v>17</v>
      </c>
      <c r="B209" s="15" t="s">
        <v>18</v>
      </c>
      <c r="C209" s="86">
        <f>B206</f>
        <v>1149.442157142857</v>
      </c>
      <c r="D209" s="233">
        <f>IFERROR(+D208/C208,"-")</f>
        <v>1.5125</v>
      </c>
      <c r="E209" s="16">
        <f>IFERROR(C209*D209,"-")</f>
        <v>1738.5312626785712</v>
      </c>
      <c r="I209" s="77"/>
      <c r="J209" s="77"/>
    </row>
    <row r="210" spans="1:10" x14ac:dyDescent="0.2">
      <c r="A210" s="14" t="s">
        <v>211</v>
      </c>
      <c r="B210" s="15" t="s">
        <v>19</v>
      </c>
      <c r="C210" s="91">
        <v>1.33</v>
      </c>
      <c r="D210" s="81">
        <v>28</v>
      </c>
      <c r="E210" s="16"/>
      <c r="G210" s="103"/>
      <c r="I210" s="77"/>
      <c r="J210" s="77"/>
    </row>
    <row r="211" spans="1:10" x14ac:dyDescent="0.2">
      <c r="A211" s="14" t="s">
        <v>20</v>
      </c>
      <c r="B211" s="15" t="s">
        <v>18</v>
      </c>
      <c r="C211" s="86">
        <f>C209</f>
        <v>1149.442157142857</v>
      </c>
      <c r="D211" s="230">
        <f>+C210*D210/1000</f>
        <v>3.7240000000000002E-2</v>
      </c>
      <c r="E211" s="16">
        <f>C211*D211</f>
        <v>42.805225931999999</v>
      </c>
      <c r="G211" s="103"/>
      <c r="I211" s="77"/>
      <c r="J211" s="77"/>
    </row>
    <row r="212" spans="1:10" x14ac:dyDescent="0.2">
      <c r="A212" s="14" t="s">
        <v>212</v>
      </c>
      <c r="B212" s="15" t="s">
        <v>19</v>
      </c>
      <c r="C212" s="91">
        <v>0.2</v>
      </c>
      <c r="D212" s="81">
        <v>32</v>
      </c>
      <c r="E212" s="16"/>
      <c r="G212" s="103"/>
      <c r="I212" s="77"/>
      <c r="J212" s="77"/>
    </row>
    <row r="213" spans="1:10" x14ac:dyDescent="0.2">
      <c r="A213" s="14" t="s">
        <v>21</v>
      </c>
      <c r="B213" s="15" t="s">
        <v>18</v>
      </c>
      <c r="C213" s="86">
        <f>C209</f>
        <v>1149.442157142857</v>
      </c>
      <c r="D213" s="230">
        <f>+C212*D212/1000</f>
        <v>6.4000000000000003E-3</v>
      </c>
      <c r="E213" s="16">
        <f>C213*D213</f>
        <v>7.356429805714285</v>
      </c>
      <c r="G213" s="103"/>
      <c r="I213" s="77"/>
      <c r="J213" s="77"/>
    </row>
    <row r="214" spans="1:10" x14ac:dyDescent="0.2">
      <c r="A214" s="279" t="s">
        <v>405</v>
      </c>
      <c r="B214" s="15" t="s">
        <v>19</v>
      </c>
      <c r="C214" s="91">
        <f>1000/C208*0.05</f>
        <v>12.5</v>
      </c>
      <c r="D214" s="81">
        <v>3.5</v>
      </c>
      <c r="E214" s="16"/>
      <c r="G214" s="103"/>
      <c r="I214" s="77"/>
      <c r="J214" s="77"/>
    </row>
    <row r="215" spans="1:10" x14ac:dyDescent="0.2">
      <c r="A215" s="279" t="s">
        <v>404</v>
      </c>
      <c r="B215" s="15" t="s">
        <v>18</v>
      </c>
      <c r="C215" s="86">
        <f>C209</f>
        <v>1149.442157142857</v>
      </c>
      <c r="D215" s="230">
        <f>+C214*D214/1000</f>
        <v>4.3749999999999997E-2</v>
      </c>
      <c r="E215" s="16">
        <f>C215*D215</f>
        <v>50.288094374999993</v>
      </c>
      <c r="G215" s="103"/>
      <c r="I215" s="77"/>
      <c r="J215" s="77"/>
    </row>
    <row r="216" spans="1:10" x14ac:dyDescent="0.2">
      <c r="A216" s="14" t="s">
        <v>213</v>
      </c>
      <c r="B216" s="15" t="s">
        <v>19</v>
      </c>
      <c r="C216" s="91">
        <v>1</v>
      </c>
      <c r="D216" s="81">
        <v>31</v>
      </c>
      <c r="E216" s="16"/>
      <c r="G216" s="103"/>
      <c r="I216" s="77"/>
      <c r="J216" s="77"/>
    </row>
    <row r="217" spans="1:10" x14ac:dyDescent="0.2">
      <c r="A217" s="14" t="s">
        <v>22</v>
      </c>
      <c r="B217" s="15" t="s">
        <v>18</v>
      </c>
      <c r="C217" s="86">
        <f>C209</f>
        <v>1149.442157142857</v>
      </c>
      <c r="D217" s="230">
        <f>+C216*D216/1000</f>
        <v>3.1E-2</v>
      </c>
      <c r="E217" s="16">
        <f>C217*D217</f>
        <v>35.632706871428567</v>
      </c>
      <c r="G217" s="103"/>
      <c r="I217" s="77"/>
      <c r="J217" s="77"/>
    </row>
    <row r="218" spans="1:10" x14ac:dyDescent="0.2">
      <c r="A218" s="14" t="s">
        <v>23</v>
      </c>
      <c r="B218" s="15" t="s">
        <v>24</v>
      </c>
      <c r="C218" s="91">
        <v>1</v>
      </c>
      <c r="D218" s="81">
        <v>25</v>
      </c>
      <c r="E218" s="16"/>
      <c r="G218" s="103"/>
      <c r="I218" s="77"/>
      <c r="J218" s="77"/>
    </row>
    <row r="219" spans="1:10" x14ac:dyDescent="0.2">
      <c r="A219" s="14" t="s">
        <v>25</v>
      </c>
      <c r="B219" s="15" t="s">
        <v>18</v>
      </c>
      <c r="C219" s="86">
        <f>C209</f>
        <v>1149.442157142857</v>
      </c>
      <c r="D219" s="230">
        <f>+C218*D218/1000</f>
        <v>2.5000000000000001E-2</v>
      </c>
      <c r="E219" s="16">
        <f>C219*D219</f>
        <v>28.736053928571426</v>
      </c>
      <c r="G219" s="103"/>
      <c r="I219" s="77"/>
      <c r="J219" s="77"/>
    </row>
    <row r="220" spans="1:10" ht="13.5" thickBot="1" x14ac:dyDescent="0.25">
      <c r="A220" s="94" t="s">
        <v>226</v>
      </c>
      <c r="B220" s="95" t="s">
        <v>119</v>
      </c>
      <c r="C220" s="231"/>
      <c r="D220" s="232">
        <f>IFERROR(D209+D211+D213+D215+D217+D219,0)</f>
        <v>1.6558899999999996</v>
      </c>
      <c r="E220" s="16"/>
      <c r="G220" s="103"/>
      <c r="I220" s="77"/>
      <c r="J220" s="77"/>
    </row>
    <row r="221" spans="1:10" ht="13.5" thickBot="1" x14ac:dyDescent="0.25">
      <c r="F221" s="19">
        <f>SUM(E208:E219)</f>
        <v>1903.3497735912854</v>
      </c>
      <c r="I221" s="77"/>
      <c r="J221" s="77"/>
    </row>
    <row r="222" spans="1:10" ht="11.25" customHeight="1" x14ac:dyDescent="0.2">
      <c r="I222" s="77"/>
      <c r="J222" s="77"/>
    </row>
    <row r="223" spans="1:10" ht="13.5" thickBot="1" x14ac:dyDescent="0.25">
      <c r="A223" s="7" t="s">
        <v>54</v>
      </c>
      <c r="I223" s="77"/>
      <c r="J223" s="77"/>
    </row>
    <row r="224" spans="1:10" ht="13.5" thickBot="1" x14ac:dyDescent="0.25">
      <c r="A224" s="54" t="s">
        <v>63</v>
      </c>
      <c r="B224" s="55" t="s">
        <v>64</v>
      </c>
      <c r="C224" s="55" t="s">
        <v>41</v>
      </c>
      <c r="D224" s="56" t="s">
        <v>210</v>
      </c>
      <c r="E224" s="56" t="s">
        <v>65</v>
      </c>
      <c r="F224" s="57" t="s">
        <v>66</v>
      </c>
      <c r="I224" s="77"/>
      <c r="J224" s="77"/>
    </row>
    <row r="225" spans="1:10" ht="13.5" thickBot="1" x14ac:dyDescent="0.25">
      <c r="A225" s="11" t="s">
        <v>117</v>
      </c>
      <c r="B225" s="12" t="s">
        <v>119</v>
      </c>
      <c r="C225" s="86">
        <f>C209</f>
        <v>1149.442157142857</v>
      </c>
      <c r="D225" s="79">
        <v>0.9</v>
      </c>
      <c r="E225" s="13">
        <f>C225*D225</f>
        <v>1034.4979414285713</v>
      </c>
      <c r="I225" s="77"/>
      <c r="J225" s="77"/>
    </row>
    <row r="226" spans="1:10" ht="13.5" thickBot="1" x14ac:dyDescent="0.25">
      <c r="F226" s="19">
        <f>E225</f>
        <v>1034.4979414285713</v>
      </c>
      <c r="I226" s="77"/>
      <c r="J226" s="77"/>
    </row>
    <row r="227" spans="1:10" ht="11.25" customHeight="1" x14ac:dyDescent="0.2">
      <c r="I227" s="77"/>
      <c r="J227" s="77"/>
    </row>
    <row r="228" spans="1:10" ht="13.5" thickBot="1" x14ac:dyDescent="0.25">
      <c r="A228" s="7" t="s">
        <v>61</v>
      </c>
      <c r="I228" s="77"/>
      <c r="J228" s="77"/>
    </row>
    <row r="229" spans="1:10" ht="13.5" thickBot="1" x14ac:dyDescent="0.25">
      <c r="A229" s="54" t="s">
        <v>63</v>
      </c>
      <c r="B229" s="55" t="s">
        <v>64</v>
      </c>
      <c r="C229" s="55" t="s">
        <v>41</v>
      </c>
      <c r="D229" s="56" t="s">
        <v>210</v>
      </c>
      <c r="E229" s="56" t="s">
        <v>65</v>
      </c>
      <c r="F229" s="57" t="s">
        <v>66</v>
      </c>
      <c r="I229" s="77"/>
      <c r="J229" s="77"/>
    </row>
    <row r="230" spans="1:10" x14ac:dyDescent="0.2">
      <c r="A230" s="257" t="s">
        <v>420</v>
      </c>
      <c r="B230" s="12" t="s">
        <v>10</v>
      </c>
      <c r="C230" s="87">
        <v>6</v>
      </c>
      <c r="D230" s="79">
        <v>1700</v>
      </c>
      <c r="E230" s="13">
        <f>C230*D230</f>
        <v>10200</v>
      </c>
      <c r="I230" s="77"/>
      <c r="J230" s="77"/>
    </row>
    <row r="231" spans="1:10" x14ac:dyDescent="0.2">
      <c r="A231" s="11" t="s">
        <v>120</v>
      </c>
      <c r="B231" s="12" t="s">
        <v>10</v>
      </c>
      <c r="C231" s="87">
        <v>2</v>
      </c>
      <c r="D231" s="97"/>
      <c r="E231" s="13"/>
      <c r="I231" s="77"/>
      <c r="J231" s="77"/>
    </row>
    <row r="232" spans="1:10" x14ac:dyDescent="0.2">
      <c r="A232" s="11" t="s">
        <v>70</v>
      </c>
      <c r="B232" s="12" t="s">
        <v>10</v>
      </c>
      <c r="C232" s="13">
        <f>C230*C231</f>
        <v>12</v>
      </c>
      <c r="D232" s="79">
        <v>600</v>
      </c>
      <c r="E232" s="13">
        <f>C232*D232</f>
        <v>7200</v>
      </c>
      <c r="I232" s="77"/>
      <c r="J232" s="77"/>
    </row>
    <row r="233" spans="1:10" x14ac:dyDescent="0.2">
      <c r="A233" s="279" t="s">
        <v>408</v>
      </c>
      <c r="B233" s="15" t="s">
        <v>26</v>
      </c>
      <c r="C233" s="90">
        <v>80000</v>
      </c>
      <c r="D233" s="16">
        <f>E230+E232</f>
        <v>17400</v>
      </c>
      <c r="E233" s="16">
        <f>IFERROR(D233/C233,"-")</f>
        <v>0.2175</v>
      </c>
      <c r="I233" s="77"/>
      <c r="J233" s="77"/>
    </row>
    <row r="234" spans="1:10" ht="13.5" thickBot="1" x14ac:dyDescent="0.25">
      <c r="A234" s="14" t="s">
        <v>56</v>
      </c>
      <c r="B234" s="15" t="s">
        <v>18</v>
      </c>
      <c r="C234" s="86">
        <f>B206</f>
        <v>1149.442157142857</v>
      </c>
      <c r="D234" s="16">
        <f>E233</f>
        <v>0.2175</v>
      </c>
      <c r="E234" s="16">
        <f>IFERROR(C234*D234,0)</f>
        <v>250.00366917857139</v>
      </c>
      <c r="I234" s="77"/>
      <c r="J234" s="77"/>
    </row>
    <row r="235" spans="1:10" ht="13.5" thickBot="1" x14ac:dyDescent="0.25">
      <c r="F235" s="19">
        <f>E234</f>
        <v>250.00366917857139</v>
      </c>
      <c r="I235" s="77"/>
      <c r="J235" s="77"/>
    </row>
    <row r="236" spans="1:10" ht="11.25" customHeight="1" thickBot="1" x14ac:dyDescent="0.25">
      <c r="I236" s="77"/>
      <c r="J236" s="77"/>
    </row>
    <row r="237" spans="1:10" ht="13.5" thickBot="1" x14ac:dyDescent="0.25">
      <c r="A237" s="22" t="s">
        <v>202</v>
      </c>
      <c r="B237" s="23"/>
      <c r="C237" s="23"/>
      <c r="D237" s="24"/>
      <c r="E237" s="25"/>
      <c r="F237" s="19">
        <f>+SUM(F166:F236)</f>
        <v>6564.6805355158722</v>
      </c>
      <c r="G237" s="7"/>
    </row>
    <row r="238" spans="1:10" ht="11.25" customHeight="1" x14ac:dyDescent="0.2">
      <c r="G238" s="7"/>
    </row>
    <row r="239" spans="1:10" ht="13.5" thickBot="1" x14ac:dyDescent="0.25">
      <c r="A239" s="9" t="s">
        <v>421</v>
      </c>
      <c r="B239" s="9"/>
      <c r="C239" s="9"/>
      <c r="D239" s="32"/>
      <c r="E239" s="32"/>
      <c r="F239" s="31"/>
      <c r="G239" s="7"/>
    </row>
    <row r="240" spans="1:10" ht="13.5" thickBot="1" x14ac:dyDescent="0.25">
      <c r="A240" s="54" t="s">
        <v>63</v>
      </c>
      <c r="B240" s="55" t="s">
        <v>64</v>
      </c>
      <c r="C240" s="55" t="s">
        <v>41</v>
      </c>
      <c r="D240" s="56" t="s">
        <v>210</v>
      </c>
      <c r="E240" s="56" t="s">
        <v>65</v>
      </c>
      <c r="F240" s="57" t="s">
        <v>66</v>
      </c>
      <c r="G240" s="7"/>
    </row>
    <row r="241" spans="1:7" x14ac:dyDescent="0.2">
      <c r="A241" s="14" t="s">
        <v>71</v>
      </c>
      <c r="B241" s="15" t="s">
        <v>10</v>
      </c>
      <c r="C241" s="92">
        <v>0.16666666666666666</v>
      </c>
      <c r="D241" s="79">
        <v>50</v>
      </c>
      <c r="E241" s="16">
        <f>C241*D241</f>
        <v>8.3333333333333321</v>
      </c>
      <c r="F241" s="50"/>
      <c r="G241" s="7"/>
    </row>
    <row r="242" spans="1:7" x14ac:dyDescent="0.2">
      <c r="A242" s="14" t="s">
        <v>28</v>
      </c>
      <c r="B242" s="15" t="s">
        <v>10</v>
      </c>
      <c r="C242" s="92">
        <v>0.16666666666666666</v>
      </c>
      <c r="D242" s="79">
        <v>30</v>
      </c>
      <c r="E242" s="16">
        <f>C242*D242</f>
        <v>5</v>
      </c>
      <c r="F242" s="50"/>
      <c r="G242" s="7"/>
    </row>
    <row r="243" spans="1:7" x14ac:dyDescent="0.2">
      <c r="A243" s="14" t="s">
        <v>29</v>
      </c>
      <c r="B243" s="15" t="s">
        <v>10</v>
      </c>
      <c r="C243" s="92">
        <v>0.33333333333333331</v>
      </c>
      <c r="D243" s="79">
        <v>25</v>
      </c>
      <c r="E243" s="16">
        <f>C243*D243</f>
        <v>8.3333333333333321</v>
      </c>
      <c r="F243" s="50"/>
      <c r="G243" s="7"/>
    </row>
    <row r="244" spans="1:7" x14ac:dyDescent="0.2">
      <c r="A244" s="279" t="s">
        <v>422</v>
      </c>
      <c r="B244" s="308" t="s">
        <v>10</v>
      </c>
      <c r="C244" s="353">
        <v>1</v>
      </c>
      <c r="D244" s="264">
        <v>300</v>
      </c>
      <c r="E244" s="350">
        <f t="shared" ref="E244" si="5">(C244*D244)/12</f>
        <v>25</v>
      </c>
      <c r="F244" s="50"/>
      <c r="G244" s="7"/>
    </row>
    <row r="245" spans="1:7" ht="13.5" thickBot="1" x14ac:dyDescent="0.25">
      <c r="A245" s="279" t="s">
        <v>465</v>
      </c>
      <c r="B245" s="49" t="s">
        <v>119</v>
      </c>
      <c r="C245" s="351">
        <f>5*C103</f>
        <v>125</v>
      </c>
      <c r="D245" s="331">
        <v>2.2000000000000002</v>
      </c>
      <c r="E245" s="350">
        <f>+D245*C245</f>
        <v>275</v>
      </c>
      <c r="F245" s="50"/>
      <c r="G245" s="7"/>
    </row>
    <row r="246" spans="1:7" ht="13.5" hidden="1" thickBot="1" x14ac:dyDescent="0.25">
      <c r="A246" s="279"/>
      <c r="B246" s="308"/>
      <c r="C246" s="352"/>
      <c r="D246" s="79"/>
      <c r="E246" s="16">
        <f>C246*D246</f>
        <v>0</v>
      </c>
      <c r="F246" s="50"/>
      <c r="G246" s="7"/>
    </row>
    <row r="247" spans="1:7" ht="13.5" thickBot="1" x14ac:dyDescent="0.25">
      <c r="A247" s="9"/>
      <c r="B247" s="9"/>
      <c r="C247" s="9"/>
      <c r="D247" s="9"/>
      <c r="E247" s="32"/>
      <c r="F247" s="19">
        <f>SUM(E241:E246)</f>
        <v>321.66666666666669</v>
      </c>
      <c r="G247" s="7"/>
    </row>
    <row r="248" spans="1:7" ht="11.25" customHeight="1" thickBot="1" x14ac:dyDescent="0.25">
      <c r="G248" s="7"/>
    </row>
    <row r="249" spans="1:7" ht="13.5" thickBot="1" x14ac:dyDescent="0.25">
      <c r="A249" s="22" t="s">
        <v>203</v>
      </c>
      <c r="B249" s="23"/>
      <c r="C249" s="23"/>
      <c r="D249" s="24"/>
      <c r="E249" s="25"/>
      <c r="F249" s="19">
        <f>+F247</f>
        <v>321.66666666666669</v>
      </c>
      <c r="G249" s="7"/>
    </row>
    <row r="250" spans="1:7" ht="11.25" customHeight="1" x14ac:dyDescent="0.2">
      <c r="G250" s="7"/>
    </row>
    <row r="251" spans="1:7" ht="13.5" thickBot="1" x14ac:dyDescent="0.25">
      <c r="A251" s="9" t="s">
        <v>74</v>
      </c>
      <c r="B251" s="9"/>
      <c r="C251" s="9"/>
      <c r="D251" s="32"/>
      <c r="E251" s="32"/>
      <c r="F251" s="31"/>
    </row>
    <row r="252" spans="1:7" ht="13.5" thickBot="1" x14ac:dyDescent="0.25">
      <c r="A252" s="54" t="s">
        <v>63</v>
      </c>
      <c r="B252" s="55" t="s">
        <v>64</v>
      </c>
      <c r="C252" s="55" t="s">
        <v>41</v>
      </c>
      <c r="D252" s="56" t="s">
        <v>210</v>
      </c>
      <c r="E252" s="56" t="s">
        <v>65</v>
      </c>
      <c r="F252" s="57" t="s">
        <v>66</v>
      </c>
    </row>
    <row r="253" spans="1:7" x14ac:dyDescent="0.2">
      <c r="A253" s="14" t="s">
        <v>200</v>
      </c>
      <c r="B253" s="49" t="s">
        <v>58</v>
      </c>
      <c r="C253" s="305">
        <v>1</v>
      </c>
      <c r="D253" s="81">
        <v>650</v>
      </c>
      <c r="E253" s="16">
        <f>+D253*C253</f>
        <v>650</v>
      </c>
      <c r="F253" s="50"/>
    </row>
    <row r="254" spans="1:7" x14ac:dyDescent="0.2">
      <c r="A254" s="14" t="s">
        <v>60</v>
      </c>
      <c r="B254" s="49" t="s">
        <v>8</v>
      </c>
      <c r="C254" s="15">
        <v>60</v>
      </c>
      <c r="D254" s="74">
        <f>SUM(E253:E253)</f>
        <v>650</v>
      </c>
      <c r="E254" s="74">
        <f>+D254/C254</f>
        <v>10.833333333333334</v>
      </c>
      <c r="F254" s="50"/>
    </row>
    <row r="255" spans="1:7" x14ac:dyDescent="0.2">
      <c r="A255" s="14" t="s">
        <v>201</v>
      </c>
      <c r="B255" s="15" t="s">
        <v>10</v>
      </c>
      <c r="C255" s="305">
        <v>1</v>
      </c>
      <c r="D255" s="81">
        <v>130</v>
      </c>
      <c r="E255" s="16">
        <f>C255*D255</f>
        <v>130</v>
      </c>
      <c r="F255" s="50"/>
    </row>
    <row r="256" spans="1:7" ht="13.5" thickBot="1" x14ac:dyDescent="0.25">
      <c r="A256" s="14" t="s">
        <v>38</v>
      </c>
      <c r="B256" s="49" t="s">
        <v>8</v>
      </c>
      <c r="C256" s="15">
        <v>1</v>
      </c>
      <c r="D256" s="74">
        <f>+E255</f>
        <v>130</v>
      </c>
      <c r="E256" s="74">
        <f>+D256/C256</f>
        <v>130</v>
      </c>
      <c r="F256" s="50"/>
    </row>
    <row r="257" spans="1:7" ht="13.5" thickBot="1" x14ac:dyDescent="0.25">
      <c r="A257" s="10"/>
      <c r="B257" s="10"/>
      <c r="C257" s="10"/>
      <c r="D257" s="114" t="s">
        <v>176</v>
      </c>
      <c r="E257" s="266">
        <f>E98</f>
        <v>0.99999999545454543</v>
      </c>
      <c r="F257" s="19">
        <f>(E254+E256)*E257</f>
        <v>140.83333269318183</v>
      </c>
    </row>
    <row r="258" spans="1:7" s="48" customFormat="1" ht="11.25" customHeight="1" thickBot="1" x14ac:dyDescent="0.25">
      <c r="A258" s="7"/>
      <c r="B258" s="7"/>
      <c r="C258" s="7"/>
      <c r="D258" s="8"/>
      <c r="E258" s="8"/>
      <c r="F258" s="8"/>
      <c r="G258" s="76"/>
    </row>
    <row r="259" spans="1:7" ht="13.5" thickBot="1" x14ac:dyDescent="0.25">
      <c r="A259" s="22" t="s">
        <v>199</v>
      </c>
      <c r="B259" s="23"/>
      <c r="C259" s="23"/>
      <c r="D259" s="24"/>
      <c r="E259" s="25"/>
      <c r="F259" s="19">
        <f>+F257</f>
        <v>140.83333269318183</v>
      </c>
    </row>
    <row r="260" spans="1:7" ht="11.25" customHeight="1" thickBot="1" x14ac:dyDescent="0.25"/>
    <row r="261" spans="1:7" ht="17.25" customHeight="1" thickBot="1" x14ac:dyDescent="0.25">
      <c r="A261" s="22" t="s">
        <v>204</v>
      </c>
      <c r="B261" s="26"/>
      <c r="C261" s="26"/>
      <c r="D261" s="27"/>
      <c r="E261" s="28"/>
      <c r="F261" s="20">
        <f>+F127+F160+F237+F249+F259</f>
        <v>24594.648215253819</v>
      </c>
    </row>
    <row r="262" spans="1:7" ht="11.25" customHeight="1" x14ac:dyDescent="0.2"/>
    <row r="263" spans="1:7" ht="13.5" thickBot="1" x14ac:dyDescent="0.25">
      <c r="A263" s="9" t="s">
        <v>89</v>
      </c>
    </row>
    <row r="264" spans="1:7" ht="13.5" thickBot="1" x14ac:dyDescent="0.25">
      <c r="A264" s="54" t="s">
        <v>63</v>
      </c>
      <c r="B264" s="55" t="s">
        <v>64</v>
      </c>
      <c r="C264" s="55" t="s">
        <v>41</v>
      </c>
      <c r="D264" s="56" t="s">
        <v>210</v>
      </c>
      <c r="E264" s="56" t="s">
        <v>65</v>
      </c>
      <c r="F264" s="57" t="s">
        <v>66</v>
      </c>
    </row>
    <row r="265" spans="1:7" ht="13.5" thickBot="1" x14ac:dyDescent="0.25">
      <c r="A265" s="11" t="s">
        <v>37</v>
      </c>
      <c r="B265" s="12" t="s">
        <v>2</v>
      </c>
      <c r="C265" s="129">
        <f>'4.BDI '!C21*100</f>
        <v>25.580000000000002</v>
      </c>
      <c r="D265" s="13">
        <f>+F261</f>
        <v>24594.648215253819</v>
      </c>
      <c r="E265" s="13">
        <f>C265*D265/100</f>
        <v>6291.3110134619274</v>
      </c>
    </row>
    <row r="266" spans="1:7" ht="13.5" thickBot="1" x14ac:dyDescent="0.25">
      <c r="F266" s="19">
        <f>+E265</f>
        <v>6291.3110134619274</v>
      </c>
    </row>
    <row r="267" spans="1:7" ht="11.25" customHeight="1" thickBot="1" x14ac:dyDescent="0.25"/>
    <row r="268" spans="1:7" ht="13.5" thickBot="1" x14ac:dyDescent="0.25">
      <c r="A268" s="22" t="s">
        <v>215</v>
      </c>
      <c r="B268" s="26"/>
      <c r="C268" s="26"/>
      <c r="D268" s="27"/>
      <c r="E268" s="28"/>
      <c r="F268" s="20">
        <f>F266</f>
        <v>6291.3110134619274</v>
      </c>
    </row>
    <row r="269" spans="1:7" ht="13.5" thickBot="1" x14ac:dyDescent="0.25">
      <c r="A269" s="9"/>
      <c r="B269" s="9"/>
      <c r="C269" s="9"/>
      <c r="D269" s="32"/>
      <c r="E269" s="32"/>
      <c r="F269" s="31"/>
    </row>
    <row r="270" spans="1:7" ht="24.75" customHeight="1" thickBot="1" x14ac:dyDescent="0.25">
      <c r="A270" s="22" t="s">
        <v>205</v>
      </c>
      <c r="B270" s="26"/>
      <c r="C270" s="26"/>
      <c r="D270" s="27"/>
      <c r="E270" s="28"/>
      <c r="F270" s="20">
        <f>F261+F268</f>
        <v>30885.959228715747</v>
      </c>
    </row>
    <row r="271" spans="1:7" ht="24.75" hidden="1" customHeight="1" x14ac:dyDescent="0.2">
      <c r="A271" s="9"/>
      <c r="D271" s="53"/>
      <c r="E271" s="53"/>
      <c r="F271" s="349"/>
    </row>
    <row r="272" spans="1:7" ht="14.25" hidden="1" x14ac:dyDescent="0.2">
      <c r="A272" s="6"/>
      <c r="B272" s="6"/>
      <c r="C272" s="6"/>
      <c r="D272" s="33"/>
      <c r="E272" s="33"/>
    </row>
    <row r="273" spans="1:7" ht="16.149999999999999" hidden="1" customHeight="1" x14ac:dyDescent="0.2">
      <c r="A273" s="211" t="s">
        <v>198</v>
      </c>
      <c r="B273" s="212"/>
      <c r="C273" s="212"/>
      <c r="D273" s="213"/>
      <c r="E273" s="214" t="s">
        <v>27</v>
      </c>
      <c r="G273" s="8" t="s">
        <v>185</v>
      </c>
    </row>
    <row r="274" spans="1:7" hidden="1" x14ac:dyDescent="0.2"/>
    <row r="275" spans="1:7" ht="25.5" hidden="1" customHeight="1" thickBot="1" x14ac:dyDescent="0.25">
      <c r="A275" s="22" t="s">
        <v>69</v>
      </c>
      <c r="B275" s="23"/>
      <c r="C275" s="23"/>
      <c r="D275" s="24"/>
      <c r="E275" s="215" t="s">
        <v>33</v>
      </c>
      <c r="F275" s="216" t="str">
        <f>IFERROR(F270/D273,"-")</f>
        <v>-</v>
      </c>
      <c r="G275" s="8" t="s">
        <v>185</v>
      </c>
    </row>
    <row r="276" spans="1:7" ht="12.6" hidden="1" customHeight="1" x14ac:dyDescent="0.2">
      <c r="A276" s="9"/>
      <c r="B276" s="9"/>
      <c r="C276" s="9"/>
      <c r="D276" s="32"/>
      <c r="E276" s="32"/>
      <c r="F276" s="32"/>
    </row>
    <row r="277" spans="1:7" s="2" customFormat="1" ht="9.75" hidden="1" customHeight="1" x14ac:dyDescent="0.2">
      <c r="A277" s="36"/>
      <c r="B277" s="8"/>
      <c r="C277" s="8"/>
      <c r="D277" s="8"/>
      <c r="E277" s="8"/>
      <c r="F277" s="8"/>
      <c r="G277" s="4"/>
    </row>
    <row r="278" spans="1:7" s="2" customFormat="1" ht="9.75" hidden="1" customHeight="1" x14ac:dyDescent="0.2">
      <c r="A278" s="36"/>
      <c r="B278" s="8"/>
      <c r="C278" s="8"/>
      <c r="D278" s="8"/>
      <c r="E278" s="8"/>
      <c r="F278" s="8"/>
      <c r="G278" s="4"/>
    </row>
    <row r="279" spans="1:7" s="2" customFormat="1" ht="9.75" hidden="1" customHeight="1" x14ac:dyDescent="0.2">
      <c r="A279" s="36"/>
      <c r="B279" s="8"/>
      <c r="C279" s="8"/>
      <c r="D279" s="8"/>
      <c r="E279" s="8"/>
      <c r="F279" s="8"/>
      <c r="G279" s="4"/>
    </row>
    <row r="309" s="7" customFormat="1" ht="9" customHeight="1" x14ac:dyDescent="0.2"/>
  </sheetData>
  <mergeCells count="7">
    <mergeCell ref="A47:D47"/>
    <mergeCell ref="A12:F12"/>
    <mergeCell ref="A13:F13"/>
    <mergeCell ref="A15:F15"/>
    <mergeCell ref="A25:C25"/>
    <mergeCell ref="A40:E40"/>
    <mergeCell ref="A41:D41"/>
  </mergeCells>
  <hyperlinks>
    <hyperlink ref="A181" location="AbaRemun" display="3.1.2. Remuneração do Capital" xr:uid="{00000000-0004-0000-0200-000000000000}"/>
    <hyperlink ref="A164" location="AbaDeprec" display="3.1.1. Depreciação" xr:uid="{00000000-0004-0000-0200-000001000000}"/>
  </hyperlinks>
  <pageMargins left="0.9055118110236221" right="0.51181102362204722" top="0.74803149606299213" bottom="0.74803149606299213" header="0.31496062992125984" footer="0.31496062992125984"/>
  <pageSetup paperSize="9" scale="69" fitToHeight="4" orientation="portrait" r:id="rId1"/>
  <headerFooter alignWithMargins="0">
    <oddFooter>&amp;R&amp;P de &amp;N</oddFooter>
  </headerFooter>
  <rowBreaks count="3" manualBreakCount="3">
    <brk id="83" max="5" man="1"/>
    <brk id="161" max="5" man="1"/>
    <brk id="227" max="5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23"/>
  <sheetViews>
    <sheetView view="pageBreakPreview" topLeftCell="A70" zoomScale="130" zoomScaleSheetLayoutView="130" workbookViewId="0">
      <selection activeCell="A14" sqref="A14"/>
    </sheetView>
  </sheetViews>
  <sheetFormatPr defaultColWidth="9.140625" defaultRowHeight="12.75" x14ac:dyDescent="0.2"/>
  <cols>
    <col min="1" max="1" width="44.5703125" style="7" customWidth="1"/>
    <col min="2" max="2" width="16" style="7" bestFit="1" customWidth="1"/>
    <col min="3" max="3" width="11.85546875" style="7" customWidth="1"/>
    <col min="4" max="4" width="14.7109375" style="8" customWidth="1"/>
    <col min="5" max="5" width="15.42578125" style="8" customWidth="1"/>
    <col min="6" max="6" width="13.28515625" style="8" customWidth="1"/>
    <col min="7" max="7" width="28.140625" style="8" customWidth="1"/>
    <col min="8" max="8" width="9.140625" style="7"/>
    <col min="9" max="9" width="14.5703125" style="7" customWidth="1"/>
    <col min="10" max="10" width="13.42578125" style="7" customWidth="1"/>
    <col min="11" max="16384" width="9.140625" style="7"/>
  </cols>
  <sheetData>
    <row r="1" spans="1:7" ht="15.75" hidden="1" x14ac:dyDescent="0.2">
      <c r="A1" s="51" t="s">
        <v>183</v>
      </c>
    </row>
    <row r="2" spans="1:7" ht="15.75" hidden="1" x14ac:dyDescent="0.2">
      <c r="A2" s="301" t="s">
        <v>256</v>
      </c>
    </row>
    <row r="3" spans="1:7" ht="15.75" hidden="1" x14ac:dyDescent="0.2">
      <c r="A3" s="301" t="s">
        <v>257</v>
      </c>
    </row>
    <row r="4" spans="1:7" ht="15.75" hidden="1" x14ac:dyDescent="0.2">
      <c r="A4" s="301" t="s">
        <v>259</v>
      </c>
    </row>
    <row r="5" spans="1:7" s="2" customFormat="1" ht="15.6" hidden="1" customHeight="1" x14ac:dyDescent="0.2">
      <c r="A5" s="51" t="s">
        <v>253</v>
      </c>
      <c r="C5" s="3"/>
      <c r="D5" s="3"/>
      <c r="E5" s="3"/>
      <c r="F5" s="3"/>
      <c r="G5" s="4"/>
    </row>
    <row r="6" spans="1:7" s="2" customFormat="1" ht="15.6" hidden="1" customHeight="1" x14ac:dyDescent="0.2">
      <c r="A6" s="255" t="s">
        <v>258</v>
      </c>
      <c r="B6" s="3"/>
      <c r="C6" s="3"/>
      <c r="D6" s="3"/>
      <c r="E6" s="3"/>
      <c r="F6" s="3"/>
      <c r="G6" s="4"/>
    </row>
    <row r="7" spans="1:7" s="2" customFormat="1" ht="15.6" hidden="1" customHeight="1" x14ac:dyDescent="0.2">
      <c r="A7" s="5"/>
      <c r="B7" s="3"/>
      <c r="C7" s="3"/>
      <c r="D7" s="3"/>
      <c r="E7" s="3"/>
      <c r="F7" s="3"/>
      <c r="G7" s="4"/>
    </row>
    <row r="8" spans="1:7" s="2" customFormat="1" ht="15.6" hidden="1" customHeight="1" x14ac:dyDescent="0.2">
      <c r="A8" s="256" t="s">
        <v>264</v>
      </c>
      <c r="B8" s="3"/>
      <c r="C8" s="3"/>
      <c r="D8" s="3"/>
      <c r="E8" s="3"/>
      <c r="F8" s="3"/>
      <c r="G8" s="4"/>
    </row>
    <row r="9" spans="1:7" s="2" customFormat="1" ht="15.6" hidden="1" customHeight="1" x14ac:dyDescent="0.2">
      <c r="A9" s="301" t="s">
        <v>261</v>
      </c>
      <c r="B9" s="3"/>
      <c r="C9" s="3"/>
      <c r="D9" s="3"/>
      <c r="E9" s="3"/>
      <c r="F9" s="3"/>
      <c r="G9" s="4"/>
    </row>
    <row r="10" spans="1:7" s="2" customFormat="1" ht="16.5" hidden="1" customHeight="1" x14ac:dyDescent="0.2">
      <c r="A10" s="5"/>
      <c r="B10" s="3"/>
      <c r="C10" s="3"/>
      <c r="D10" s="4"/>
      <c r="E10" s="4"/>
      <c r="F10" s="4"/>
      <c r="G10" s="4"/>
    </row>
    <row r="11" spans="1:7" s="2" customFormat="1" ht="16.5" customHeight="1" thickBot="1" x14ac:dyDescent="0.25">
      <c r="A11" s="136" t="s">
        <v>281</v>
      </c>
      <c r="B11" s="3"/>
      <c r="C11" s="3"/>
      <c r="D11" s="4"/>
      <c r="E11" s="4"/>
      <c r="F11" s="4"/>
      <c r="G11" s="4"/>
    </row>
    <row r="12" spans="1:7" s="6" customFormat="1" ht="18" x14ac:dyDescent="0.2">
      <c r="A12" s="414" t="s">
        <v>503</v>
      </c>
      <c r="B12" s="415"/>
      <c r="C12" s="415"/>
      <c r="D12" s="415"/>
      <c r="E12" s="415"/>
      <c r="F12" s="416"/>
      <c r="G12" s="33"/>
    </row>
    <row r="13" spans="1:7" s="6" customFormat="1" ht="21.75" customHeight="1" x14ac:dyDescent="0.2">
      <c r="A13" s="417" t="s">
        <v>44</v>
      </c>
      <c r="B13" s="418"/>
      <c r="C13" s="418"/>
      <c r="D13" s="418"/>
      <c r="E13" s="418"/>
      <c r="F13" s="419"/>
      <c r="G13" s="33"/>
    </row>
    <row r="14" spans="1:7" s="2" customFormat="1" ht="10.9" customHeight="1" thickBot="1" x14ac:dyDescent="0.25">
      <c r="A14" s="137"/>
      <c r="B14" s="3"/>
      <c r="C14" s="3"/>
      <c r="D14" s="138"/>
      <c r="E14" s="138"/>
      <c r="F14" s="139"/>
      <c r="G14" s="4"/>
    </row>
    <row r="15" spans="1:7" s="2" customFormat="1" ht="15.75" customHeight="1" thickBot="1" x14ac:dyDescent="0.25">
      <c r="A15" s="420" t="s">
        <v>182</v>
      </c>
      <c r="B15" s="421"/>
      <c r="C15" s="421"/>
      <c r="D15" s="421"/>
      <c r="E15" s="421"/>
      <c r="F15" s="422"/>
      <c r="G15" s="4"/>
    </row>
    <row r="16" spans="1:7" s="2" customFormat="1" ht="15.75" customHeight="1" x14ac:dyDescent="0.2">
      <c r="A16" s="58" t="s">
        <v>181</v>
      </c>
      <c r="B16" s="37"/>
      <c r="C16" s="37"/>
      <c r="D16" s="220"/>
      <c r="E16" s="107" t="s">
        <v>39</v>
      </c>
      <c r="F16" s="38" t="s">
        <v>2</v>
      </c>
      <c r="G16" s="4"/>
    </row>
    <row r="17" spans="1:7" s="9" customFormat="1" ht="15.75" customHeight="1" x14ac:dyDescent="0.2">
      <c r="A17" s="116" t="str">
        <f>A54</f>
        <v>1. Mão-de-obra</v>
      </c>
      <c r="B17" s="117"/>
      <c r="C17" s="118"/>
      <c r="D17" s="118"/>
      <c r="E17" s="217">
        <f>+F149</f>
        <v>58858.670943940924</v>
      </c>
      <c r="F17" s="119">
        <f>IFERROR(E17/$E$38,0)</f>
        <v>0.97708684919125999</v>
      </c>
      <c r="G17" s="41"/>
    </row>
    <row r="18" spans="1:7" s="2" customFormat="1" ht="15.75" customHeight="1" x14ac:dyDescent="0.2">
      <c r="A18" s="46" t="str">
        <f>A55</f>
        <v>1.1. Reciclador de lixo urbano</v>
      </c>
      <c r="B18" s="42"/>
      <c r="C18" s="44"/>
      <c r="D18" s="44"/>
      <c r="E18" s="218">
        <f>F66</f>
        <v>39455.467349760002</v>
      </c>
      <c r="F18" s="52">
        <f>IFERROR(E18/$E$38,0)</f>
        <v>0.65498281999713115</v>
      </c>
      <c r="G18" s="4"/>
    </row>
    <row r="19" spans="1:7" s="2" customFormat="1" ht="15.75" customHeight="1" x14ac:dyDescent="0.2">
      <c r="A19" s="46" t="str">
        <f>A68</f>
        <v xml:space="preserve">1.2. Supervisor/Encarregado </v>
      </c>
      <c r="B19" s="42"/>
      <c r="C19" s="44"/>
      <c r="D19" s="44"/>
      <c r="E19" s="218">
        <f>F85</f>
        <v>3065.7737087999999</v>
      </c>
      <c r="F19" s="52">
        <f t="shared" ref="F19:F37" si="0">IFERROR(E19/$E$38,0)</f>
        <v>5.0893557829700932E-2</v>
      </c>
      <c r="G19" s="4"/>
    </row>
    <row r="20" spans="1:7" s="2" customFormat="1" ht="15.75" customHeight="1" x14ac:dyDescent="0.2">
      <c r="A20" s="46" t="str">
        <f>A87</f>
        <v xml:space="preserve">1.3. Operador de máquinas </v>
      </c>
      <c r="B20" s="42"/>
      <c r="C20" s="44"/>
      <c r="D20" s="44"/>
      <c r="E20" s="218">
        <f>F100</f>
        <v>4975.5759891200005</v>
      </c>
      <c r="F20" s="52">
        <f t="shared" si="0"/>
        <v>8.2597343571540707E-2</v>
      </c>
      <c r="G20" s="4"/>
    </row>
    <row r="21" spans="1:7" s="2" customFormat="1" ht="15.75" customHeight="1" x14ac:dyDescent="0.2">
      <c r="A21" s="46" t="str">
        <f>A102</f>
        <v>1.4. Zelador</v>
      </c>
      <c r="B21" s="42"/>
      <c r="C21" s="44"/>
      <c r="D21" s="44"/>
      <c r="E21" s="218">
        <f>F121</f>
        <v>4795.3249491839997</v>
      </c>
      <c r="F21" s="52">
        <f t="shared" si="0"/>
        <v>7.9605075519102703E-2</v>
      </c>
      <c r="G21" s="4"/>
    </row>
    <row r="22" spans="1:7" s="2" customFormat="1" ht="15.75" customHeight="1" x14ac:dyDescent="0.2">
      <c r="A22" s="46" t="str">
        <f>A123</f>
        <v>1.5. Vale Transporte</v>
      </c>
      <c r="B22" s="42"/>
      <c r="C22" s="44"/>
      <c r="D22" s="44"/>
      <c r="E22" s="218">
        <f>F130</f>
        <v>1369.564547076923</v>
      </c>
      <c r="F22" s="52">
        <f t="shared" si="0"/>
        <v>2.273553728968802E-2</v>
      </c>
      <c r="G22" s="4"/>
    </row>
    <row r="23" spans="1:7" s="2" customFormat="1" x14ac:dyDescent="0.2">
      <c r="A23" s="46" t="str">
        <f>A132</f>
        <v>1.6. Vale-refeição (diário)</v>
      </c>
      <c r="B23" s="42"/>
      <c r="C23" s="44"/>
      <c r="D23" s="44"/>
      <c r="E23" s="218">
        <f>F137</f>
        <v>4930.9644000000008</v>
      </c>
      <c r="F23" s="52">
        <f t="shared" si="0"/>
        <v>8.1856766247051127E-2</v>
      </c>
      <c r="G23" s="4"/>
    </row>
    <row r="24" spans="1:7" s="2" customFormat="1" x14ac:dyDescent="0.2">
      <c r="A24" s="46" t="str">
        <f>A139</f>
        <v>1.7. Seguro de Vida (mensal)</v>
      </c>
      <c r="B24" s="42"/>
      <c r="C24" s="44"/>
      <c r="D24" s="44"/>
      <c r="E24" s="218">
        <f>F142</f>
        <v>25</v>
      </c>
      <c r="F24" s="52">
        <f t="shared" si="0"/>
        <v>4.1501397904561589E-4</v>
      </c>
      <c r="G24" s="4"/>
    </row>
    <row r="25" spans="1:7" s="2" customFormat="1" x14ac:dyDescent="0.2">
      <c r="A25" s="46" t="str">
        <f>A144</f>
        <v xml:space="preserve">1.8 Plano de Benefício Social  </v>
      </c>
      <c r="B25" s="42"/>
      <c r="C25" s="44"/>
      <c r="D25" s="44"/>
      <c r="E25" s="218">
        <f>F147</f>
        <v>241</v>
      </c>
      <c r="F25" s="52">
        <f t="shared" si="0"/>
        <v>4.0007347579997373E-3</v>
      </c>
      <c r="G25" s="4"/>
    </row>
    <row r="26" spans="1:7" s="9" customFormat="1" ht="15.75" customHeight="1" x14ac:dyDescent="0.2">
      <c r="A26" s="423" t="str">
        <f>A151</f>
        <v>2. Uniformes e Equipamentos de Proteção Individual</v>
      </c>
      <c r="B26" s="424"/>
      <c r="C26" s="424"/>
      <c r="D26" s="118"/>
      <c r="E26" s="217">
        <f>+F182</f>
        <v>1853.0666666666666</v>
      </c>
      <c r="F26" s="119">
        <f t="shared" si="0"/>
        <v>3.0761942830805172E-2</v>
      </c>
      <c r="G26" s="41"/>
    </row>
    <row r="27" spans="1:7" s="9" customFormat="1" ht="15.75" customHeight="1" x14ac:dyDescent="0.2">
      <c r="A27" s="310" t="str">
        <f>A184</f>
        <v>3. Máquinas e Equipamentos</v>
      </c>
      <c r="B27" s="127"/>
      <c r="C27" s="118"/>
      <c r="D27" s="118"/>
      <c r="E27" s="217">
        <f>+F260</f>
        <v>15600</v>
      </c>
      <c r="F27" s="119">
        <f t="shared" si="0"/>
        <v>0.25896872292446432</v>
      </c>
      <c r="G27" s="41"/>
    </row>
    <row r="28" spans="1:7" s="2" customFormat="1" ht="15.75" customHeight="1" x14ac:dyDescent="0.2">
      <c r="A28" s="59" t="str">
        <f>A186</f>
        <v xml:space="preserve">3.1. Máquinas e Equipamentos </v>
      </c>
      <c r="B28" s="43"/>
      <c r="C28" s="44"/>
      <c r="D28" s="44"/>
      <c r="E28" s="218">
        <f>SUM(E29:E34)</f>
        <v>15600</v>
      </c>
      <c r="F28" s="132">
        <f t="shared" si="0"/>
        <v>0.25896872292446432</v>
      </c>
      <c r="G28" s="4"/>
    </row>
    <row r="29" spans="1:7" s="2" customFormat="1" ht="15.75" hidden="1" customHeight="1" x14ac:dyDescent="0.2">
      <c r="A29" s="59" t="str">
        <f>A188</f>
        <v>3.1.1. Depreciação</v>
      </c>
      <c r="B29" s="43"/>
      <c r="C29" s="44"/>
      <c r="D29" s="44"/>
      <c r="E29" s="218">
        <f>F202</f>
        <v>0</v>
      </c>
      <c r="F29" s="132">
        <f t="shared" si="0"/>
        <v>0</v>
      </c>
      <c r="G29" s="4"/>
    </row>
    <row r="30" spans="1:7" s="2" customFormat="1" ht="15.75" hidden="1" customHeight="1" x14ac:dyDescent="0.2">
      <c r="A30" s="59" t="str">
        <f>A204</f>
        <v>3.1.2. Remuneração do Capital</v>
      </c>
      <c r="B30" s="43"/>
      <c r="C30" s="44"/>
      <c r="D30" s="44"/>
      <c r="E30" s="218">
        <f>F218</f>
        <v>0</v>
      </c>
      <c r="F30" s="132">
        <f t="shared" si="0"/>
        <v>0</v>
      </c>
      <c r="G30" s="4"/>
    </row>
    <row r="31" spans="1:7" s="2" customFormat="1" ht="15.75" hidden="1" customHeight="1" x14ac:dyDescent="0.2">
      <c r="A31" s="59" t="str">
        <f>A220</f>
        <v>3.1.3. Impostos e Seguros</v>
      </c>
      <c r="B31" s="43"/>
      <c r="C31" s="44"/>
      <c r="D31" s="44"/>
      <c r="E31" s="218">
        <f>F226</f>
        <v>0</v>
      </c>
      <c r="F31" s="132">
        <f t="shared" si="0"/>
        <v>0</v>
      </c>
      <c r="G31" s="4"/>
    </row>
    <row r="32" spans="1:7" s="2" customFormat="1" ht="15.75" hidden="1" customHeight="1" x14ac:dyDescent="0.2">
      <c r="A32" s="59" t="str">
        <f>A228</f>
        <v>3.1.4. Consumos</v>
      </c>
      <c r="B32" s="43"/>
      <c r="C32" s="44"/>
      <c r="D32" s="44"/>
      <c r="E32" s="218">
        <f>F244</f>
        <v>0</v>
      </c>
      <c r="F32" s="132">
        <f t="shared" si="0"/>
        <v>0</v>
      </c>
      <c r="G32" s="4"/>
    </row>
    <row r="33" spans="1:7" s="2" customFormat="1" ht="15.75" customHeight="1" x14ac:dyDescent="0.2">
      <c r="A33" s="59" t="str">
        <f>A246</f>
        <v xml:space="preserve">3.1.1. Serviços de máquinas </v>
      </c>
      <c r="B33" s="43"/>
      <c r="C33" s="44"/>
      <c r="D33" s="44"/>
      <c r="E33" s="218">
        <f>F249</f>
        <v>12600</v>
      </c>
      <c r="F33" s="132">
        <f t="shared" si="0"/>
        <v>0.20916704543899042</v>
      </c>
      <c r="G33" s="4"/>
    </row>
    <row r="34" spans="1:7" s="2" customFormat="1" ht="15.75" customHeight="1" x14ac:dyDescent="0.2">
      <c r="A34" s="59" t="str">
        <f>A251</f>
        <v>3.1.2. Manutenção de instalações e equipamentos</v>
      </c>
      <c r="B34" s="43"/>
      <c r="C34" s="44"/>
      <c r="D34" s="44"/>
      <c r="E34" s="218">
        <f>F258</f>
        <v>3000</v>
      </c>
      <c r="F34" s="132">
        <f t="shared" si="0"/>
        <v>4.9801677485473907E-2</v>
      </c>
      <c r="G34" s="4"/>
    </row>
    <row r="35" spans="1:7" s="9" customFormat="1" ht="15.75" hidden="1" customHeight="1" x14ac:dyDescent="0.2">
      <c r="A35" s="310" t="str">
        <f>A262</f>
        <v xml:space="preserve">4. Gastos Gerais e Administrativos </v>
      </c>
      <c r="B35" s="127"/>
      <c r="C35" s="118"/>
      <c r="D35" s="118"/>
      <c r="E35" s="217">
        <f>+F267</f>
        <v>2000</v>
      </c>
      <c r="F35" s="119">
        <f t="shared" si="0"/>
        <v>3.3201118323649276E-2</v>
      </c>
      <c r="G35" s="41"/>
    </row>
    <row r="36" spans="1:7" s="9" customFormat="1" ht="15.75" customHeight="1" x14ac:dyDescent="0.2">
      <c r="A36" s="310" t="str">
        <f>A269</f>
        <v xml:space="preserve">5. Venda do Material Reciclado </v>
      </c>
      <c r="B36" s="127"/>
      <c r="C36" s="118"/>
      <c r="D36" s="118"/>
      <c r="E36" s="217">
        <f>+F274</f>
        <v>-30343.164000000001</v>
      </c>
      <c r="F36" s="119">
        <f t="shared" si="0"/>
        <v>-0.50371348913894753</v>
      </c>
      <c r="G36" s="41"/>
    </row>
    <row r="37" spans="1:7" s="9" customFormat="1" ht="15.75" customHeight="1" thickBot="1" x14ac:dyDescent="0.25">
      <c r="A37" s="310" t="str">
        <f>A278</f>
        <v>6. Benefícios e Despesas Indiretas - BDI</v>
      </c>
      <c r="B37" s="127"/>
      <c r="C37" s="118"/>
      <c r="D37" s="118"/>
      <c r="E37" s="219">
        <f>+F283</f>
        <v>12270.361129593419</v>
      </c>
      <c r="F37" s="119">
        <f t="shared" si="0"/>
        <v>0.20369485586876893</v>
      </c>
      <c r="G37" s="41"/>
    </row>
    <row r="38" spans="1:7" s="2" customFormat="1" ht="15.75" customHeight="1" thickBot="1" x14ac:dyDescent="0.25">
      <c r="A38" s="39" t="s">
        <v>214</v>
      </c>
      <c r="B38" s="40"/>
      <c r="C38" s="24"/>
      <c r="D38" s="24"/>
      <c r="E38" s="106">
        <f>E17+E26+E27+E35+E36+E37</f>
        <v>60238.934740200995</v>
      </c>
      <c r="F38" s="131">
        <f>F17+F26+F27+F35+F36+F37</f>
        <v>1.0000000000000002</v>
      </c>
      <c r="G38" s="4"/>
    </row>
    <row r="40" spans="1:7" ht="13.5" thickBot="1" x14ac:dyDescent="0.25"/>
    <row r="41" spans="1:7" s="2" customFormat="1" ht="15" customHeight="1" thickBot="1" x14ac:dyDescent="0.25">
      <c r="A41" s="420" t="s">
        <v>96</v>
      </c>
      <c r="B41" s="421"/>
      <c r="C41" s="421"/>
      <c r="D41" s="421"/>
      <c r="E41" s="422"/>
      <c r="F41" s="8"/>
      <c r="G41" s="4"/>
    </row>
    <row r="42" spans="1:7" s="2" customFormat="1" ht="15" customHeight="1" thickBot="1" x14ac:dyDescent="0.25">
      <c r="A42" s="425" t="s">
        <v>40</v>
      </c>
      <c r="B42" s="426"/>
      <c r="C42" s="426"/>
      <c r="D42" s="427"/>
      <c r="E42" s="45" t="s">
        <v>41</v>
      </c>
      <c r="F42" s="8"/>
      <c r="G42" s="4"/>
    </row>
    <row r="43" spans="1:7" s="2" customFormat="1" ht="15" customHeight="1" x14ac:dyDescent="0.2">
      <c r="A43" s="67" t="str">
        <f>+A55</f>
        <v>1.1. Reciclador de lixo urbano</v>
      </c>
      <c r="B43" s="68"/>
      <c r="C43" s="68"/>
      <c r="D43" s="69"/>
      <c r="E43" s="70">
        <v>9</v>
      </c>
      <c r="F43" s="8"/>
      <c r="G43" s="4"/>
    </row>
    <row r="44" spans="1:7" s="2" customFormat="1" ht="15" customHeight="1" x14ac:dyDescent="0.2">
      <c r="A44" s="61" t="str">
        <f>+A68</f>
        <v xml:space="preserve">1.2. Supervisor/Encarregado </v>
      </c>
      <c r="B44" s="60"/>
      <c r="C44" s="60"/>
      <c r="D44" s="71"/>
      <c r="E44" s="64">
        <f>C84</f>
        <v>1</v>
      </c>
      <c r="F44" s="8"/>
      <c r="G44" s="4"/>
    </row>
    <row r="45" spans="1:7" s="2" customFormat="1" ht="15" customHeight="1" x14ac:dyDescent="0.2">
      <c r="A45" s="61" t="str">
        <f>+A87</f>
        <v xml:space="preserve">1.3. Operador de máquinas </v>
      </c>
      <c r="B45" s="60"/>
      <c r="C45" s="60"/>
      <c r="D45" s="71"/>
      <c r="E45" s="64">
        <f>C99</f>
        <v>1</v>
      </c>
      <c r="F45" s="8"/>
      <c r="G45" s="4"/>
    </row>
    <row r="46" spans="1:7" s="2" customFormat="1" ht="15" customHeight="1" x14ac:dyDescent="0.2">
      <c r="A46" s="61" t="str">
        <f>+A102</f>
        <v>1.4. Zelador</v>
      </c>
      <c r="B46" s="60"/>
      <c r="C46" s="60"/>
      <c r="D46" s="71"/>
      <c r="E46" s="64">
        <v>1</v>
      </c>
      <c r="F46" s="8"/>
      <c r="G46" s="4"/>
    </row>
    <row r="47" spans="1:7" s="2" customFormat="1" ht="15" customHeight="1" thickBot="1" x14ac:dyDescent="0.25">
      <c r="A47" s="65" t="s">
        <v>59</v>
      </c>
      <c r="B47" s="66"/>
      <c r="C47" s="66"/>
      <c r="D47" s="72"/>
      <c r="E47" s="73">
        <f>SUM(E43:E46)</f>
        <v>12</v>
      </c>
      <c r="F47" s="8"/>
      <c r="G47" s="4"/>
    </row>
    <row r="48" spans="1:7" s="2" customFormat="1" ht="15" customHeight="1" thickBot="1" x14ac:dyDescent="0.25">
      <c r="A48" s="120"/>
      <c r="B48" s="121"/>
      <c r="C48" s="53"/>
      <c r="D48" s="53"/>
      <c r="E48" s="122"/>
      <c r="F48" s="8"/>
      <c r="G48" s="4"/>
    </row>
    <row r="49" spans="1:7" s="2" customFormat="1" ht="15" customHeight="1" x14ac:dyDescent="0.2">
      <c r="A49" s="412" t="s">
        <v>57</v>
      </c>
      <c r="B49" s="413"/>
      <c r="C49" s="413"/>
      <c r="D49" s="413"/>
      <c r="E49" s="45" t="s">
        <v>41</v>
      </c>
      <c r="F49" s="7"/>
      <c r="G49" s="4"/>
    </row>
    <row r="50" spans="1:7" s="2" customFormat="1" ht="15" customHeight="1" thickBot="1" x14ac:dyDescent="0.25">
      <c r="A50" s="123" t="str">
        <f>+A186</f>
        <v xml:space="preserve">3.1. Máquinas e Equipamentos </v>
      </c>
      <c r="B50" s="124"/>
      <c r="C50" s="124"/>
      <c r="D50" s="125"/>
      <c r="E50" s="126">
        <v>1</v>
      </c>
      <c r="F50" s="7"/>
      <c r="G50" s="4"/>
    </row>
    <row r="51" spans="1:7" s="2" customFormat="1" ht="15" customHeight="1" thickBot="1" x14ac:dyDescent="0.25">
      <c r="A51" s="53"/>
      <c r="B51" s="53"/>
      <c r="C51" s="53"/>
      <c r="D51" s="7"/>
      <c r="E51" s="210"/>
      <c r="F51" s="7"/>
      <c r="G51" s="4"/>
    </row>
    <row r="52" spans="1:7" s="9" customFormat="1" ht="15.75" customHeight="1" thickBot="1" x14ac:dyDescent="0.25">
      <c r="A52" s="221" t="s">
        <v>177</v>
      </c>
      <c r="B52" s="265">
        <f>'6.Horários'!F45/'6.Horários'!F46</f>
        <v>1</v>
      </c>
      <c r="C52" s="32"/>
      <c r="E52" s="140"/>
      <c r="G52" s="41"/>
    </row>
    <row r="53" spans="1:7" s="2" customFormat="1" ht="15.75" customHeight="1" x14ac:dyDescent="0.2">
      <c r="A53" s="53"/>
      <c r="B53" s="53"/>
      <c r="C53" s="53"/>
      <c r="D53" s="7"/>
      <c r="E53" s="62"/>
      <c r="F53" s="7"/>
      <c r="G53" s="4"/>
    </row>
    <row r="54" spans="1:7" ht="13.15" customHeight="1" x14ac:dyDescent="0.2">
      <c r="A54" s="9" t="s">
        <v>48</v>
      </c>
    </row>
    <row r="55" spans="1:7" ht="13.9" customHeight="1" thickBot="1" x14ac:dyDescent="0.25">
      <c r="A55" s="5" t="s">
        <v>310</v>
      </c>
    </row>
    <row r="56" spans="1:7" ht="13.9" customHeight="1" thickBot="1" x14ac:dyDescent="0.25">
      <c r="A56" s="54" t="s">
        <v>63</v>
      </c>
      <c r="B56" s="55" t="s">
        <v>64</v>
      </c>
      <c r="C56" s="55" t="s">
        <v>41</v>
      </c>
      <c r="D56" s="56" t="s">
        <v>210</v>
      </c>
      <c r="E56" s="56" t="s">
        <v>65</v>
      </c>
      <c r="F56" s="57" t="s">
        <v>66</v>
      </c>
    </row>
    <row r="57" spans="1:7" ht="13.15" customHeight="1" x14ac:dyDescent="0.2">
      <c r="A57" s="11" t="s">
        <v>191</v>
      </c>
      <c r="B57" s="12" t="s">
        <v>8</v>
      </c>
      <c r="C57" s="12">
        <v>1</v>
      </c>
      <c r="D57" s="264">
        <f>1842.2</f>
        <v>1842.2</v>
      </c>
      <c r="E57" s="13">
        <f>C57*D57</f>
        <v>1842.2</v>
      </c>
    </row>
    <row r="58" spans="1:7" hidden="1" x14ac:dyDescent="0.2">
      <c r="A58" s="14" t="s">
        <v>35</v>
      </c>
      <c r="B58" s="15" t="s">
        <v>0</v>
      </c>
      <c r="C58" s="80"/>
      <c r="D58" s="16">
        <f>D57/220*2</f>
        <v>16.747272727272726</v>
      </c>
      <c r="E58" s="16">
        <f>C58*D58</f>
        <v>0</v>
      </c>
      <c r="G58" s="8" t="s">
        <v>220</v>
      </c>
    </row>
    <row r="59" spans="1:7" ht="13.15" hidden="1" customHeight="1" x14ac:dyDescent="0.2">
      <c r="A59" s="14" t="s">
        <v>36</v>
      </c>
      <c r="B59" s="15" t="s">
        <v>0</v>
      </c>
      <c r="C59" s="80"/>
      <c r="D59" s="16">
        <f>D57/220*1.5</f>
        <v>12.560454545454544</v>
      </c>
      <c r="E59" s="16">
        <f>C59*D59</f>
        <v>0</v>
      </c>
      <c r="G59" s="8" t="s">
        <v>222</v>
      </c>
    </row>
    <row r="60" spans="1:7" ht="13.15" hidden="1" customHeight="1" x14ac:dyDescent="0.2">
      <c r="A60" s="14" t="s">
        <v>195</v>
      </c>
      <c r="B60" s="15" t="s">
        <v>34</v>
      </c>
      <c r="D60" s="16">
        <f>63/302*(SUM(E58:E59))</f>
        <v>0</v>
      </c>
      <c r="E60" s="16">
        <f>D60</f>
        <v>0</v>
      </c>
      <c r="G60" s="8" t="s">
        <v>194</v>
      </c>
    </row>
    <row r="61" spans="1:7" x14ac:dyDescent="0.2">
      <c r="A61" s="14" t="s">
        <v>1</v>
      </c>
      <c r="B61" s="15" t="s">
        <v>2</v>
      </c>
      <c r="C61" s="15">
        <v>40</v>
      </c>
      <c r="D61" s="75">
        <f>E57</f>
        <v>1842.2</v>
      </c>
      <c r="E61" s="16">
        <f>C61*D61/100</f>
        <v>736.88</v>
      </c>
    </row>
    <row r="62" spans="1:7" x14ac:dyDescent="0.2">
      <c r="A62" s="108" t="s">
        <v>3</v>
      </c>
      <c r="B62" s="109"/>
      <c r="C62" s="109"/>
      <c r="D62" s="110"/>
      <c r="E62" s="111">
        <f>SUM(E57:E61)</f>
        <v>2579.08</v>
      </c>
    </row>
    <row r="63" spans="1:7" x14ac:dyDescent="0.2">
      <c r="A63" s="14" t="s">
        <v>4</v>
      </c>
      <c r="B63" s="15" t="s">
        <v>2</v>
      </c>
      <c r="C63" s="129">
        <f>'3.Enc Sociais'!C38*100</f>
        <v>69.980800000000002</v>
      </c>
      <c r="D63" s="16">
        <f>E62</f>
        <v>2579.08</v>
      </c>
      <c r="E63" s="16">
        <f>D63*C63/100</f>
        <v>1804.8608166399999</v>
      </c>
    </row>
    <row r="64" spans="1:7" x14ac:dyDescent="0.2">
      <c r="A64" s="108" t="s">
        <v>312</v>
      </c>
      <c r="B64" s="109"/>
      <c r="C64" s="109"/>
      <c r="D64" s="110"/>
      <c r="E64" s="111">
        <f>E62+E63</f>
        <v>4383.9408166399999</v>
      </c>
    </row>
    <row r="65" spans="1:7" ht="13.5" thickBot="1" x14ac:dyDescent="0.25">
      <c r="A65" s="14" t="s">
        <v>5</v>
      </c>
      <c r="B65" s="15" t="s">
        <v>6</v>
      </c>
      <c r="C65" s="82">
        <f>E43</f>
        <v>9</v>
      </c>
      <c r="D65" s="16">
        <f>E64</f>
        <v>4383.9408166399999</v>
      </c>
      <c r="E65" s="16">
        <f>C65*D65</f>
        <v>39455.467349760002</v>
      </c>
      <c r="G65" s="4"/>
    </row>
    <row r="66" spans="1:7" ht="13.9" customHeight="1" thickBot="1" x14ac:dyDescent="0.25">
      <c r="A66" s="5"/>
      <c r="D66" s="114" t="s">
        <v>176</v>
      </c>
      <c r="E66" s="266">
        <v>1</v>
      </c>
      <c r="F66" s="115">
        <f>E65*E66</f>
        <v>39455.467349760002</v>
      </c>
      <c r="G66" s="4"/>
    </row>
    <row r="67" spans="1:7" ht="11.25" customHeight="1" x14ac:dyDescent="0.2"/>
    <row r="68" spans="1:7" ht="13.5" thickBot="1" x14ac:dyDescent="0.25">
      <c r="A68" s="5" t="s">
        <v>426</v>
      </c>
    </row>
    <row r="69" spans="1:7" ht="13.5" thickBot="1" x14ac:dyDescent="0.25">
      <c r="A69" s="54" t="s">
        <v>63</v>
      </c>
      <c r="B69" s="55" t="s">
        <v>64</v>
      </c>
      <c r="C69" s="55" t="s">
        <v>41</v>
      </c>
      <c r="D69" s="56" t="s">
        <v>210</v>
      </c>
      <c r="E69" s="56" t="s">
        <v>65</v>
      </c>
      <c r="F69" s="57" t="s">
        <v>66</v>
      </c>
    </row>
    <row r="70" spans="1:7" x14ac:dyDescent="0.2">
      <c r="A70" s="11" t="s">
        <v>191</v>
      </c>
      <c r="B70" s="12" t="s">
        <v>8</v>
      </c>
      <c r="C70" s="12">
        <v>1</v>
      </c>
      <c r="D70" s="79">
        <v>3000</v>
      </c>
      <c r="E70" s="13">
        <f>C70*D70</f>
        <v>3000</v>
      </c>
    </row>
    <row r="71" spans="1:7" hidden="1" x14ac:dyDescent="0.2">
      <c r="A71" s="14" t="s">
        <v>7</v>
      </c>
      <c r="B71" s="15" t="s">
        <v>97</v>
      </c>
      <c r="C71" s="80"/>
      <c r="D71" s="16"/>
      <c r="E71" s="16"/>
    </row>
    <row r="72" spans="1:7" hidden="1" x14ac:dyDescent="0.2">
      <c r="A72" s="14"/>
      <c r="B72" s="15" t="s">
        <v>101</v>
      </c>
      <c r="C72" s="112">
        <f>C71*8/7</f>
        <v>0</v>
      </c>
      <c r="D72" s="16">
        <f>D70/220*0.2</f>
        <v>2.7272727272727275</v>
      </c>
      <c r="E72" s="16">
        <f>C71*D72</f>
        <v>0</v>
      </c>
    </row>
    <row r="73" spans="1:7" hidden="1" x14ac:dyDescent="0.2">
      <c r="A73" s="14" t="s">
        <v>35</v>
      </c>
      <c r="B73" s="15" t="s">
        <v>0</v>
      </c>
      <c r="C73" s="80"/>
      <c r="D73" s="16">
        <f>D70/220*2</f>
        <v>27.272727272727273</v>
      </c>
      <c r="E73" s="16">
        <f>C73*D73</f>
        <v>0</v>
      </c>
      <c r="G73" s="8" t="s">
        <v>220</v>
      </c>
    </row>
    <row r="74" spans="1:7" hidden="1" x14ac:dyDescent="0.2">
      <c r="A74" s="14" t="s">
        <v>98</v>
      </c>
      <c r="B74" s="15" t="s">
        <v>97</v>
      </c>
      <c r="C74" s="80"/>
      <c r="D74" s="16"/>
      <c r="E74" s="16"/>
      <c r="G74" s="8" t="s">
        <v>221</v>
      </c>
    </row>
    <row r="75" spans="1:7" hidden="1" x14ac:dyDescent="0.2">
      <c r="A75" s="14"/>
      <c r="B75" s="15" t="s">
        <v>101</v>
      </c>
      <c r="C75" s="112">
        <f>C74*8/7</f>
        <v>0</v>
      </c>
      <c r="D75" s="16">
        <f>D70/220*2*1.2</f>
        <v>32.727272727272727</v>
      </c>
      <c r="E75" s="16">
        <f>C75*D75</f>
        <v>0</v>
      </c>
      <c r="G75" s="8" t="s">
        <v>221</v>
      </c>
    </row>
    <row r="76" spans="1:7" hidden="1" x14ac:dyDescent="0.2">
      <c r="A76" s="14" t="s">
        <v>36</v>
      </c>
      <c r="B76" s="15" t="s">
        <v>0</v>
      </c>
      <c r="C76" s="80"/>
      <c r="D76" s="16">
        <f>D70/220*1.5</f>
        <v>20.454545454545453</v>
      </c>
      <c r="E76" s="16">
        <f>C76*D76</f>
        <v>0</v>
      </c>
      <c r="G76" s="8" t="s">
        <v>222</v>
      </c>
    </row>
    <row r="77" spans="1:7" hidden="1" x14ac:dyDescent="0.2">
      <c r="A77" s="14" t="s">
        <v>193</v>
      </c>
      <c r="B77" s="15" t="s">
        <v>97</v>
      </c>
      <c r="C77" s="80"/>
      <c r="D77" s="16"/>
      <c r="E77" s="16"/>
      <c r="G77" s="8" t="s">
        <v>223</v>
      </c>
    </row>
    <row r="78" spans="1:7" hidden="1" x14ac:dyDescent="0.2">
      <c r="A78" s="14"/>
      <c r="B78" s="15" t="s">
        <v>101</v>
      </c>
      <c r="C78" s="16">
        <f>C77*8/7</f>
        <v>0</v>
      </c>
      <c r="D78" s="16">
        <f>D70/220*1.5*1.2</f>
        <v>24.545454545454543</v>
      </c>
      <c r="E78" s="16">
        <f>C78*D78</f>
        <v>0</v>
      </c>
      <c r="G78" s="8" t="s">
        <v>223</v>
      </c>
    </row>
    <row r="79" spans="1:7" ht="13.15" hidden="1" customHeight="1" x14ac:dyDescent="0.2">
      <c r="A79" s="14" t="s">
        <v>195</v>
      </c>
      <c r="B79" s="15" t="s">
        <v>34</v>
      </c>
      <c r="D79" s="16">
        <f>63/302*(SUM(E73:E78))</f>
        <v>0</v>
      </c>
      <c r="E79" s="16">
        <f>D79</f>
        <v>0</v>
      </c>
      <c r="G79" s="8" t="s">
        <v>194</v>
      </c>
    </row>
    <row r="80" spans="1:7" x14ac:dyDescent="0.2">
      <c r="A80" s="14" t="s">
        <v>1</v>
      </c>
      <c r="B80" s="15" t="s">
        <v>2</v>
      </c>
      <c r="C80" s="15">
        <f>+C61</f>
        <v>40</v>
      </c>
      <c r="D80" s="81">
        <v>1518</v>
      </c>
      <c r="E80" s="16">
        <f>C80*D80/100</f>
        <v>607.20000000000005</v>
      </c>
    </row>
    <row r="81" spans="1:7" x14ac:dyDescent="0.2">
      <c r="A81" s="108" t="s">
        <v>3</v>
      </c>
      <c r="B81" s="109"/>
      <c r="C81" s="109"/>
      <c r="D81" s="110"/>
      <c r="E81" s="111">
        <f>SUM(E70:E80)</f>
        <v>3607.2</v>
      </c>
    </row>
    <row r="82" spans="1:7" x14ac:dyDescent="0.2">
      <c r="A82" s="14" t="s">
        <v>4</v>
      </c>
      <c r="B82" s="15" t="s">
        <v>2</v>
      </c>
      <c r="C82" s="129">
        <f>'3.Enc Sociais'!C38*100</f>
        <v>69.980800000000002</v>
      </c>
      <c r="D82" s="16">
        <f>E81</f>
        <v>3607.2</v>
      </c>
      <c r="E82" s="16">
        <f>D82*C82/100</f>
        <v>2524.3474176</v>
      </c>
    </row>
    <row r="83" spans="1:7" x14ac:dyDescent="0.2">
      <c r="A83" s="108" t="s">
        <v>72</v>
      </c>
      <c r="B83" s="109"/>
      <c r="C83" s="109"/>
      <c r="D83" s="110"/>
      <c r="E83" s="111">
        <f>E81+E82</f>
        <v>6131.5474175999998</v>
      </c>
    </row>
    <row r="84" spans="1:7" ht="13.5" thickBot="1" x14ac:dyDescent="0.25">
      <c r="A84" s="14" t="s">
        <v>5</v>
      </c>
      <c r="B84" s="15" t="s">
        <v>6</v>
      </c>
      <c r="C84" s="78">
        <v>1</v>
      </c>
      <c r="D84" s="16">
        <f>E83</f>
        <v>6131.5474175999998</v>
      </c>
      <c r="E84" s="16">
        <f>C84*D84</f>
        <v>6131.5474175999998</v>
      </c>
    </row>
    <row r="85" spans="1:7" ht="13.5" thickBot="1" x14ac:dyDescent="0.25">
      <c r="A85" s="5" t="s">
        <v>509</v>
      </c>
      <c r="D85" s="114" t="s">
        <v>176</v>
      </c>
      <c r="E85" s="47">
        <f>22/44</f>
        <v>0.5</v>
      </c>
      <c r="F85" s="115">
        <f>E84*E85</f>
        <v>3065.7737087999999</v>
      </c>
    </row>
    <row r="86" spans="1:7" ht="11.25" customHeight="1" x14ac:dyDescent="0.2"/>
    <row r="87" spans="1:7" ht="13.5" thickBot="1" x14ac:dyDescent="0.25">
      <c r="A87" s="5" t="s">
        <v>313</v>
      </c>
    </row>
    <row r="88" spans="1:7" s="10" customFormat="1" ht="13.15" customHeight="1" thickBot="1" x14ac:dyDescent="0.25">
      <c r="A88" s="54" t="s">
        <v>63</v>
      </c>
      <c r="B88" s="55" t="s">
        <v>64</v>
      </c>
      <c r="C88" s="55" t="s">
        <v>41</v>
      </c>
      <c r="D88" s="56" t="s">
        <v>210</v>
      </c>
      <c r="E88" s="56" t="s">
        <v>65</v>
      </c>
      <c r="F88" s="57" t="s">
        <v>66</v>
      </c>
      <c r="G88" s="8"/>
    </row>
    <row r="89" spans="1:7" x14ac:dyDescent="0.2">
      <c r="A89" s="257" t="s">
        <v>262</v>
      </c>
      <c r="B89" s="12" t="s">
        <v>8</v>
      </c>
      <c r="C89" s="12">
        <v>1</v>
      </c>
      <c r="D89" s="264">
        <v>2319.94</v>
      </c>
      <c r="E89" s="13">
        <f>C89*D89</f>
        <v>2319.94</v>
      </c>
    </row>
    <row r="90" spans="1:7" x14ac:dyDescent="0.2">
      <c r="A90" s="257" t="s">
        <v>263</v>
      </c>
      <c r="B90" s="12" t="s">
        <v>8</v>
      </c>
      <c r="C90" s="12">
        <v>1</v>
      </c>
      <c r="D90" s="79">
        <v>1518</v>
      </c>
      <c r="E90" s="13"/>
    </row>
    <row r="91" spans="1:7" hidden="1" x14ac:dyDescent="0.2">
      <c r="A91" s="14" t="s">
        <v>35</v>
      </c>
      <c r="B91" s="15" t="s">
        <v>0</v>
      </c>
      <c r="C91" s="80"/>
      <c r="D91" s="16">
        <f>D89/220*2</f>
        <v>21.090363636363637</v>
      </c>
      <c r="E91" s="16">
        <f>C91*D91</f>
        <v>0</v>
      </c>
      <c r="G91" s="8" t="s">
        <v>220</v>
      </c>
    </row>
    <row r="92" spans="1:7" hidden="1" x14ac:dyDescent="0.2">
      <c r="A92" s="14" t="s">
        <v>36</v>
      </c>
      <c r="B92" s="15" t="s">
        <v>0</v>
      </c>
      <c r="C92" s="80"/>
      <c r="D92" s="16">
        <f>D89/220*1.5</f>
        <v>15.817772727272729</v>
      </c>
      <c r="E92" s="16">
        <f>C92*D92</f>
        <v>0</v>
      </c>
      <c r="G92" s="8" t="s">
        <v>222</v>
      </c>
    </row>
    <row r="93" spans="1:7" ht="13.15" hidden="1" customHeight="1" x14ac:dyDescent="0.2">
      <c r="A93" s="14" t="s">
        <v>195</v>
      </c>
      <c r="B93" s="15" t="s">
        <v>34</v>
      </c>
      <c r="D93" s="16">
        <f>63/302*(SUM(E91:E92))</f>
        <v>0</v>
      </c>
      <c r="E93" s="16">
        <f>D93</f>
        <v>0</v>
      </c>
      <c r="G93" s="8" t="s">
        <v>194</v>
      </c>
    </row>
    <row r="94" spans="1:7" x14ac:dyDescent="0.2">
      <c r="A94" s="14" t="s">
        <v>192</v>
      </c>
      <c r="B94" s="15"/>
      <c r="C94" s="82">
        <v>1</v>
      </c>
      <c r="D94" s="16"/>
      <c r="E94" s="16"/>
    </row>
    <row r="95" spans="1:7" x14ac:dyDescent="0.2">
      <c r="A95" s="14" t="s">
        <v>1</v>
      </c>
      <c r="B95" s="15" t="s">
        <v>2</v>
      </c>
      <c r="C95" s="78">
        <v>40</v>
      </c>
      <c r="D95" s="75">
        <f>IF(C94=2,SUM(E89:E93),IF(C94=1,(SUM(E89:E93))*D90/D89,0))</f>
        <v>1518</v>
      </c>
      <c r="E95" s="16">
        <f>C95*D95/100</f>
        <v>607.20000000000005</v>
      </c>
    </row>
    <row r="96" spans="1:7" s="9" customFormat="1" x14ac:dyDescent="0.2">
      <c r="A96" s="94" t="s">
        <v>3</v>
      </c>
      <c r="B96" s="109"/>
      <c r="C96" s="109"/>
      <c r="D96" s="110"/>
      <c r="E96" s="96">
        <f>SUM(E89:E95)</f>
        <v>2927.1400000000003</v>
      </c>
      <c r="F96" s="41"/>
      <c r="G96" s="41"/>
    </row>
    <row r="97" spans="1:7" x14ac:dyDescent="0.2">
      <c r="A97" s="14" t="s">
        <v>4</v>
      </c>
      <c r="B97" s="15" t="s">
        <v>2</v>
      </c>
      <c r="C97" s="129">
        <f>'3.Enc Sociais'!C38*100</f>
        <v>69.980800000000002</v>
      </c>
      <c r="D97" s="16">
        <f>E96</f>
        <v>2927.1400000000003</v>
      </c>
      <c r="E97" s="16">
        <f>D97*C97/100</f>
        <v>2048.4359891200002</v>
      </c>
    </row>
    <row r="98" spans="1:7" s="9" customFormat="1" x14ac:dyDescent="0.2">
      <c r="A98" s="94" t="s">
        <v>314</v>
      </c>
      <c r="B98" s="227"/>
      <c r="C98" s="227"/>
      <c r="D98" s="228"/>
      <c r="E98" s="96">
        <f>E96+E97</f>
        <v>4975.5759891200005</v>
      </c>
      <c r="F98" s="41"/>
      <c r="G98" s="41"/>
    </row>
    <row r="99" spans="1:7" ht="13.5" thickBot="1" x14ac:dyDescent="0.25">
      <c r="A99" s="14" t="s">
        <v>5</v>
      </c>
      <c r="B99" s="15" t="s">
        <v>6</v>
      </c>
      <c r="C99" s="78">
        <v>1</v>
      </c>
      <c r="D99" s="16">
        <f>E98</f>
        <v>4975.5759891200005</v>
      </c>
      <c r="E99" s="16">
        <f>C99*D99</f>
        <v>4975.5759891200005</v>
      </c>
    </row>
    <row r="100" spans="1:7" ht="13.5" thickBot="1" x14ac:dyDescent="0.25">
      <c r="A100" s="5"/>
      <c r="D100" s="114" t="s">
        <v>176</v>
      </c>
      <c r="E100" s="266">
        <v>1</v>
      </c>
      <c r="F100" s="115">
        <f>E99*E100</f>
        <v>4975.5759891200005</v>
      </c>
    </row>
    <row r="101" spans="1:7" ht="11.25" customHeight="1" x14ac:dyDescent="0.2">
      <c r="A101" s="5"/>
    </row>
    <row r="102" spans="1:7" ht="13.5" thickBot="1" x14ac:dyDescent="0.25">
      <c r="A102" s="5" t="s">
        <v>444</v>
      </c>
    </row>
    <row r="103" spans="1:7" ht="13.5" thickBot="1" x14ac:dyDescent="0.25">
      <c r="A103" s="54" t="s">
        <v>63</v>
      </c>
      <c r="B103" s="55" t="s">
        <v>64</v>
      </c>
      <c r="C103" s="55" t="s">
        <v>41</v>
      </c>
      <c r="D103" s="56" t="s">
        <v>210</v>
      </c>
      <c r="E103" s="56" t="s">
        <v>65</v>
      </c>
      <c r="F103" s="57" t="s">
        <v>66</v>
      </c>
    </row>
    <row r="104" spans="1:7" x14ac:dyDescent="0.2">
      <c r="A104" s="257" t="s">
        <v>262</v>
      </c>
      <c r="B104" s="12" t="s">
        <v>8</v>
      </c>
      <c r="C104" s="12">
        <v>1</v>
      </c>
      <c r="D104" s="79">
        <v>2015.07</v>
      </c>
      <c r="E104" s="13">
        <f>C104*D104</f>
        <v>2015.07</v>
      </c>
    </row>
    <row r="105" spans="1:7" hidden="1" x14ac:dyDescent="0.2">
      <c r="A105" s="257" t="s">
        <v>263</v>
      </c>
      <c r="B105" s="12" t="s">
        <v>8</v>
      </c>
      <c r="C105" s="12">
        <v>1</v>
      </c>
      <c r="D105" s="16">
        <v>1518</v>
      </c>
      <c r="E105" s="16"/>
    </row>
    <row r="106" spans="1:7" hidden="1" x14ac:dyDescent="0.2">
      <c r="A106" s="14" t="s">
        <v>7</v>
      </c>
      <c r="B106" s="15" t="s">
        <v>97</v>
      </c>
      <c r="C106" s="80"/>
      <c r="D106" s="14"/>
      <c r="E106" s="14"/>
    </row>
    <row r="107" spans="1:7" hidden="1" x14ac:dyDescent="0.2">
      <c r="A107" s="14"/>
      <c r="B107" s="15" t="s">
        <v>101</v>
      </c>
      <c r="C107" s="16">
        <f>C106*8/7</f>
        <v>0</v>
      </c>
      <c r="D107" s="16">
        <f>D104/220*0.2</f>
        <v>1.8318818181818182</v>
      </c>
      <c r="E107" s="16">
        <f>C106*D107</f>
        <v>0</v>
      </c>
    </row>
    <row r="108" spans="1:7" hidden="1" x14ac:dyDescent="0.2">
      <c r="A108" s="14" t="s">
        <v>35</v>
      </c>
      <c r="B108" s="15" t="s">
        <v>0</v>
      </c>
      <c r="C108" s="80"/>
      <c r="D108" s="16">
        <f>D104/220*2</f>
        <v>18.31881818181818</v>
      </c>
      <c r="E108" s="16">
        <f>C108*D108</f>
        <v>0</v>
      </c>
      <c r="G108" s="8" t="s">
        <v>220</v>
      </c>
    </row>
    <row r="109" spans="1:7" hidden="1" x14ac:dyDescent="0.2">
      <c r="A109" s="14" t="s">
        <v>98</v>
      </c>
      <c r="B109" s="15" t="s">
        <v>97</v>
      </c>
      <c r="C109" s="80"/>
      <c r="D109" s="16"/>
      <c r="E109" s="16"/>
      <c r="G109" s="8" t="s">
        <v>221</v>
      </c>
    </row>
    <row r="110" spans="1:7" hidden="1" x14ac:dyDescent="0.2">
      <c r="A110" s="14"/>
      <c r="B110" s="15" t="s">
        <v>101</v>
      </c>
      <c r="C110" s="16">
        <f>C109*8/7</f>
        <v>0</v>
      </c>
      <c r="D110" s="16">
        <f>D104/220*2*1.2</f>
        <v>21.982581818181817</v>
      </c>
      <c r="E110" s="16">
        <f>C110*D110</f>
        <v>0</v>
      </c>
      <c r="G110" s="8" t="s">
        <v>221</v>
      </c>
    </row>
    <row r="111" spans="1:7" hidden="1" x14ac:dyDescent="0.2">
      <c r="A111" s="14" t="s">
        <v>36</v>
      </c>
      <c r="B111" s="15" t="s">
        <v>0</v>
      </c>
      <c r="C111" s="80"/>
      <c r="D111" s="16">
        <f>D104/220*1.5</f>
        <v>13.739113636363635</v>
      </c>
      <c r="E111" s="16">
        <f>C111*D111</f>
        <v>0</v>
      </c>
      <c r="G111" s="8" t="s">
        <v>222</v>
      </c>
    </row>
    <row r="112" spans="1:7" hidden="1" x14ac:dyDescent="0.2">
      <c r="A112" s="14" t="s">
        <v>193</v>
      </c>
      <c r="B112" s="15" t="s">
        <v>97</v>
      </c>
      <c r="C112" s="80"/>
      <c r="D112" s="16"/>
      <c r="E112" s="16"/>
      <c r="G112" s="8" t="s">
        <v>223</v>
      </c>
    </row>
    <row r="113" spans="1:7" hidden="1" x14ac:dyDescent="0.2">
      <c r="A113" s="14"/>
      <c r="B113" s="15" t="s">
        <v>101</v>
      </c>
      <c r="C113" s="16">
        <f>C112*8/7</f>
        <v>0</v>
      </c>
      <c r="D113" s="16">
        <f>D104/220*1.5*1.2</f>
        <v>16.48693636363636</v>
      </c>
      <c r="E113" s="16">
        <f>C113*D113</f>
        <v>0</v>
      </c>
      <c r="G113" s="8" t="s">
        <v>223</v>
      </c>
    </row>
    <row r="114" spans="1:7" hidden="1" x14ac:dyDescent="0.2">
      <c r="A114" s="14" t="s">
        <v>195</v>
      </c>
      <c r="B114" s="15" t="s">
        <v>34</v>
      </c>
      <c r="D114" s="16">
        <f>63/302*(SUM(E108:E113))</f>
        <v>0</v>
      </c>
      <c r="E114" s="16">
        <f>D114</f>
        <v>0</v>
      </c>
      <c r="G114" s="8" t="s">
        <v>194</v>
      </c>
    </row>
    <row r="115" spans="1:7" x14ac:dyDescent="0.2">
      <c r="A115" s="14" t="s">
        <v>192</v>
      </c>
      <c r="B115" s="15"/>
      <c r="C115" s="82">
        <v>2</v>
      </c>
      <c r="D115" s="16"/>
      <c r="E115" s="16"/>
    </row>
    <row r="116" spans="1:7" x14ac:dyDescent="0.2">
      <c r="A116" s="14" t="s">
        <v>1</v>
      </c>
      <c r="B116" s="15" t="s">
        <v>2</v>
      </c>
      <c r="C116" s="75">
        <f>+C95</f>
        <v>40</v>
      </c>
      <c r="D116" s="75">
        <f>IF(C115=2,SUM(E104:E114),IF(C115=1,SUM(E104:E114)*D105/D104,0))</f>
        <v>2015.07</v>
      </c>
      <c r="E116" s="16">
        <f>C116*D116/100</f>
        <v>806.02800000000002</v>
      </c>
    </row>
    <row r="117" spans="1:7" s="9" customFormat="1" x14ac:dyDescent="0.2">
      <c r="A117" s="108" t="s">
        <v>3</v>
      </c>
      <c r="B117" s="109"/>
      <c r="C117" s="109"/>
      <c r="D117" s="110"/>
      <c r="E117" s="111">
        <f>SUM(E104:E116)</f>
        <v>2821.098</v>
      </c>
      <c r="F117" s="41"/>
      <c r="G117" s="41"/>
    </row>
    <row r="118" spans="1:7" x14ac:dyDescent="0.2">
      <c r="A118" s="14" t="s">
        <v>4</v>
      </c>
      <c r="B118" s="15" t="s">
        <v>2</v>
      </c>
      <c r="C118" s="129">
        <f>'3.Enc Sociais'!C38*100</f>
        <v>69.980800000000002</v>
      </c>
      <c r="D118" s="16">
        <f>E117</f>
        <v>2821.098</v>
      </c>
      <c r="E118" s="16">
        <f>D118*C118/100</f>
        <v>1974.226949184</v>
      </c>
    </row>
    <row r="119" spans="1:7" s="9" customFormat="1" x14ac:dyDescent="0.2">
      <c r="A119" s="108" t="s">
        <v>224</v>
      </c>
      <c r="B119" s="109"/>
      <c r="C119" s="109"/>
      <c r="D119" s="110"/>
      <c r="E119" s="111">
        <f>E117+E118</f>
        <v>4795.3249491839997</v>
      </c>
      <c r="F119" s="41"/>
      <c r="G119" s="41"/>
    </row>
    <row r="120" spans="1:7" ht="13.5" thickBot="1" x14ac:dyDescent="0.25">
      <c r="A120" s="14" t="s">
        <v>5</v>
      </c>
      <c r="B120" s="15" t="s">
        <v>6</v>
      </c>
      <c r="C120" s="82">
        <f>E46</f>
        <v>1</v>
      </c>
      <c r="D120" s="16">
        <f>E119</f>
        <v>4795.3249491839997</v>
      </c>
      <c r="E120" s="16">
        <f>C120*D120</f>
        <v>4795.3249491839997</v>
      </c>
    </row>
    <row r="121" spans="1:7" ht="13.5" thickBot="1" x14ac:dyDescent="0.25">
      <c r="A121" s="5"/>
      <c r="D121" s="114" t="s">
        <v>176</v>
      </c>
      <c r="E121" s="47">
        <v>1</v>
      </c>
      <c r="F121" s="115">
        <f>E120*E121</f>
        <v>4795.3249491839997</v>
      </c>
    </row>
    <row r="122" spans="1:7" ht="11.25" customHeight="1" x14ac:dyDescent="0.2">
      <c r="G122" s="7"/>
    </row>
    <row r="123" spans="1:7" ht="13.5" thickBot="1" x14ac:dyDescent="0.25">
      <c r="A123" s="7" t="s">
        <v>102</v>
      </c>
      <c r="B123" s="85"/>
      <c r="D123" s="7"/>
      <c r="E123" s="7"/>
      <c r="G123" s="7"/>
    </row>
    <row r="124" spans="1:7" ht="13.5" thickBot="1" x14ac:dyDescent="0.25">
      <c r="A124" s="54" t="s">
        <v>63</v>
      </c>
      <c r="B124" s="55" t="s">
        <v>64</v>
      </c>
      <c r="C124" s="55" t="s">
        <v>41</v>
      </c>
      <c r="D124" s="56" t="s">
        <v>210</v>
      </c>
      <c r="E124" s="56" t="s">
        <v>65</v>
      </c>
      <c r="F124" s="57" t="s">
        <v>66</v>
      </c>
      <c r="G124" s="7"/>
    </row>
    <row r="125" spans="1:7" x14ac:dyDescent="0.2">
      <c r="A125" s="14" t="s">
        <v>90</v>
      </c>
      <c r="B125" s="15" t="s">
        <v>34</v>
      </c>
      <c r="C125" s="86">
        <v>1</v>
      </c>
      <c r="D125" s="84">
        <v>5.2</v>
      </c>
      <c r="E125" s="16"/>
      <c r="G125" s="7"/>
    </row>
    <row r="126" spans="1:7" x14ac:dyDescent="0.2">
      <c r="A126" s="14" t="s">
        <v>91</v>
      </c>
      <c r="B126" s="15" t="s">
        <v>92</v>
      </c>
      <c r="C126" s="83">
        <v>21</v>
      </c>
      <c r="D126" s="16"/>
      <c r="E126" s="16"/>
      <c r="G126" s="7"/>
    </row>
    <row r="127" spans="1:7" x14ac:dyDescent="0.2">
      <c r="A127" s="279" t="s">
        <v>424</v>
      </c>
      <c r="B127" s="15" t="s">
        <v>9</v>
      </c>
      <c r="C127" s="34">
        <f>C65*C126*2</f>
        <v>378</v>
      </c>
      <c r="D127" s="13">
        <f>IFERROR((($C$126*2*$D$125)-(E57*0.06*C126/26))/($C$126*2),"-")</f>
        <v>3.074384615384615</v>
      </c>
      <c r="E127" s="16">
        <f>IFERROR(C127*D127,"-")</f>
        <v>1162.1173846153845</v>
      </c>
      <c r="G127" s="7"/>
    </row>
    <row r="128" spans="1:7" x14ac:dyDescent="0.2">
      <c r="A128" s="257" t="s">
        <v>425</v>
      </c>
      <c r="B128" s="281" t="s">
        <v>9</v>
      </c>
      <c r="C128" s="34">
        <f>C99*C126*2</f>
        <v>42</v>
      </c>
      <c r="D128" s="13">
        <f>D125-(E89*0.06)/50</f>
        <v>2.4160719999999998</v>
      </c>
      <c r="E128" s="16">
        <f>IFERROR(C128*D128,"-")</f>
        <v>101.47502399999999</v>
      </c>
      <c r="G128" s="7"/>
    </row>
    <row r="129" spans="1:7" ht="13.5" thickBot="1" x14ac:dyDescent="0.25">
      <c r="A129" s="257" t="s">
        <v>456</v>
      </c>
      <c r="B129" s="12" t="s">
        <v>9</v>
      </c>
      <c r="C129" s="34">
        <f>C120*C126*2</f>
        <v>42</v>
      </c>
      <c r="D129" s="13">
        <f>IFERROR((($C$126*2*$D$125)-(E89*0.06*C126/26))/($C$126*2),"-")</f>
        <v>2.5231461538461537</v>
      </c>
      <c r="E129" s="13">
        <f>IFERROR(C129*D129,"-")</f>
        <v>105.97213846153845</v>
      </c>
      <c r="G129" s="7"/>
    </row>
    <row r="130" spans="1:7" ht="13.5" thickBot="1" x14ac:dyDescent="0.25">
      <c r="A130" s="5"/>
      <c r="F130" s="20">
        <f>SUM(E127:E129)</f>
        <v>1369.564547076923</v>
      </c>
      <c r="G130" s="7"/>
    </row>
    <row r="131" spans="1:7" x14ac:dyDescent="0.2">
      <c r="A131" s="5"/>
      <c r="G131" s="7"/>
    </row>
    <row r="132" spans="1:7" ht="13.5" thickBot="1" x14ac:dyDescent="0.25">
      <c r="A132" s="7" t="s">
        <v>121</v>
      </c>
      <c r="F132" s="21"/>
      <c r="G132" s="7"/>
    </row>
    <row r="133" spans="1:7" ht="13.5" thickBot="1" x14ac:dyDescent="0.25">
      <c r="A133" s="54" t="s">
        <v>63</v>
      </c>
      <c r="B133" s="55" t="s">
        <v>64</v>
      </c>
      <c r="C133" s="55" t="s">
        <v>41</v>
      </c>
      <c r="D133" s="56" t="s">
        <v>210</v>
      </c>
      <c r="E133" s="56" t="s">
        <v>65</v>
      </c>
      <c r="F133" s="57" t="s">
        <v>66</v>
      </c>
      <c r="G133" s="7"/>
    </row>
    <row r="134" spans="1:7" x14ac:dyDescent="0.2">
      <c r="A134" s="279" t="s">
        <v>457</v>
      </c>
      <c r="B134" s="15" t="s">
        <v>10</v>
      </c>
      <c r="C134" s="93">
        <f>(E43+E46)*C126</f>
        <v>210</v>
      </c>
      <c r="D134" s="81">
        <f>(25.42*0.81)</f>
        <v>20.590200000000003</v>
      </c>
      <c r="E134" s="47">
        <f>C134*D134</f>
        <v>4323.9420000000009</v>
      </c>
      <c r="F134" s="21"/>
      <c r="G134" s="7"/>
    </row>
    <row r="135" spans="1:7" x14ac:dyDescent="0.2">
      <c r="A135" s="279" t="s">
        <v>410</v>
      </c>
      <c r="B135" s="308" t="s">
        <v>64</v>
      </c>
      <c r="C135" s="93">
        <f>12</f>
        <v>12</v>
      </c>
      <c r="D135" s="81">
        <f>(25.42*0.81)</f>
        <v>20.590200000000003</v>
      </c>
      <c r="E135" s="47">
        <f>C135*D135</f>
        <v>247.08240000000004</v>
      </c>
      <c r="F135" s="21"/>
      <c r="G135" s="7"/>
    </row>
    <row r="136" spans="1:7" ht="13.5" thickBot="1" x14ac:dyDescent="0.25">
      <c r="A136" s="279" t="s">
        <v>425</v>
      </c>
      <c r="B136" s="15" t="s">
        <v>10</v>
      </c>
      <c r="C136" s="93">
        <f>C99*C126</f>
        <v>21</v>
      </c>
      <c r="D136" s="81">
        <f>21.425*0.8</f>
        <v>17.14</v>
      </c>
      <c r="E136" s="47">
        <f>C136*D136</f>
        <v>359.94</v>
      </c>
      <c r="F136" s="21"/>
      <c r="G136" s="7"/>
    </row>
    <row r="137" spans="1:7" ht="13.5" thickBot="1" x14ac:dyDescent="0.25">
      <c r="F137" s="20">
        <f>SUM(E134:E136)</f>
        <v>4930.9644000000008</v>
      </c>
      <c r="G137" s="7"/>
    </row>
    <row r="138" spans="1:7" x14ac:dyDescent="0.2">
      <c r="G138" s="7"/>
    </row>
    <row r="139" spans="1:7" ht="13.5" thickBot="1" x14ac:dyDescent="0.25">
      <c r="A139" s="5" t="s">
        <v>427</v>
      </c>
      <c r="F139" s="21"/>
      <c r="G139" s="7"/>
    </row>
    <row r="140" spans="1:7" ht="13.5" thickBot="1" x14ac:dyDescent="0.25">
      <c r="A140" s="54" t="s">
        <v>63</v>
      </c>
      <c r="B140" s="55" t="s">
        <v>64</v>
      </c>
      <c r="C140" s="55" t="s">
        <v>41</v>
      </c>
      <c r="D140" s="56" t="s">
        <v>210</v>
      </c>
      <c r="E140" s="56" t="s">
        <v>65</v>
      </c>
      <c r="F140" s="57" t="s">
        <v>66</v>
      </c>
      <c r="G140" s="7"/>
    </row>
    <row r="141" spans="1:7" ht="13.5" thickBot="1" x14ac:dyDescent="0.25">
      <c r="A141" s="14" t="str">
        <f>+A136</f>
        <v>Operador de máquinas</v>
      </c>
      <c r="B141" s="15" t="s">
        <v>10</v>
      </c>
      <c r="C141" s="93">
        <v>1</v>
      </c>
      <c r="D141" s="81">
        <v>25</v>
      </c>
      <c r="E141" s="47">
        <f>C141*D141</f>
        <v>25</v>
      </c>
      <c r="F141" s="21"/>
      <c r="G141" s="7"/>
    </row>
    <row r="142" spans="1:7" ht="13.5" thickBot="1" x14ac:dyDescent="0.25">
      <c r="D142" s="114" t="s">
        <v>176</v>
      </c>
      <c r="E142" s="266">
        <f>$B$52</f>
        <v>1</v>
      </c>
      <c r="F142" s="20">
        <f>SUM(E141:E141)*E142</f>
        <v>25</v>
      </c>
      <c r="G142" s="7"/>
    </row>
    <row r="143" spans="1:7" x14ac:dyDescent="0.2">
      <c r="D143" s="114"/>
      <c r="E143" s="312"/>
      <c r="G143" s="7"/>
    </row>
    <row r="144" spans="1:7" ht="13.5" thickBot="1" x14ac:dyDescent="0.25">
      <c r="A144" s="5" t="s">
        <v>435</v>
      </c>
      <c r="B144" s="5"/>
      <c r="C144" s="5"/>
      <c r="D144" s="309"/>
      <c r="E144" s="309"/>
      <c r="F144" s="21"/>
      <c r="G144" s="7"/>
    </row>
    <row r="145" spans="1:7" ht="13.5" thickBot="1" x14ac:dyDescent="0.25">
      <c r="A145" s="54" t="s">
        <v>63</v>
      </c>
      <c r="B145" s="55" t="s">
        <v>64</v>
      </c>
      <c r="C145" s="55" t="s">
        <v>41</v>
      </c>
      <c r="D145" s="56" t="s">
        <v>210</v>
      </c>
      <c r="E145" s="56" t="s">
        <v>65</v>
      </c>
      <c r="F145" s="57" t="s">
        <v>66</v>
      </c>
      <c r="G145" s="7"/>
    </row>
    <row r="146" spans="1:7" ht="13.5" thickBot="1" x14ac:dyDescent="0.25">
      <c r="A146" s="279" t="s">
        <v>412</v>
      </c>
      <c r="B146" s="308" t="s">
        <v>10</v>
      </c>
      <c r="C146" s="334">
        <f>E43+E46</f>
        <v>10</v>
      </c>
      <c r="D146" s="335">
        <v>24.1</v>
      </c>
      <c r="E146" s="336">
        <f>C146*D146</f>
        <v>241</v>
      </c>
      <c r="F146" s="21"/>
      <c r="G146" s="7"/>
    </row>
    <row r="147" spans="1:7" ht="13.5" thickBot="1" x14ac:dyDescent="0.25">
      <c r="A147" s="337"/>
      <c r="B147" s="337"/>
      <c r="C147" s="5"/>
      <c r="D147" s="338" t="s">
        <v>413</v>
      </c>
      <c r="E147" s="339">
        <f>B52</f>
        <v>1</v>
      </c>
      <c r="F147" s="340">
        <f>SUM(E146:E146)*E147</f>
        <v>241</v>
      </c>
      <c r="G147" s="7"/>
    </row>
    <row r="148" spans="1:7" ht="13.5" thickBot="1" x14ac:dyDescent="0.25">
      <c r="G148" s="7"/>
    </row>
    <row r="149" spans="1:7" ht="13.5" thickBot="1" x14ac:dyDescent="0.25">
      <c r="A149" s="22" t="s">
        <v>93</v>
      </c>
      <c r="B149" s="23"/>
      <c r="C149" s="23"/>
      <c r="D149" s="24"/>
      <c r="E149" s="25"/>
      <c r="F149" s="20">
        <f>F142+F137+F130+F121+F100+F85+F66+F147</f>
        <v>58858.670943940924</v>
      </c>
      <c r="G149" s="7"/>
    </row>
    <row r="151" spans="1:7" x14ac:dyDescent="0.2">
      <c r="A151" s="9" t="s">
        <v>46</v>
      </c>
      <c r="G151" s="7"/>
    </row>
    <row r="152" spans="1:7" ht="13.9" customHeight="1" thickBot="1" x14ac:dyDescent="0.25">
      <c r="A152" s="5" t="s">
        <v>315</v>
      </c>
      <c r="G152" s="7"/>
    </row>
    <row r="153" spans="1:7" ht="27.75" customHeight="1" thickBot="1" x14ac:dyDescent="0.25">
      <c r="A153" s="54" t="s">
        <v>63</v>
      </c>
      <c r="B153" s="55" t="s">
        <v>64</v>
      </c>
      <c r="C153" s="229" t="s">
        <v>225</v>
      </c>
      <c r="D153" s="56" t="s">
        <v>210</v>
      </c>
      <c r="E153" s="56" t="s">
        <v>65</v>
      </c>
      <c r="F153" s="57" t="s">
        <v>66</v>
      </c>
      <c r="G153" s="7"/>
    </row>
    <row r="154" spans="1:7" x14ac:dyDescent="0.2">
      <c r="A154" s="257" t="s">
        <v>67</v>
      </c>
      <c r="B154" s="281" t="s">
        <v>10</v>
      </c>
      <c r="C154" s="396">
        <v>12</v>
      </c>
      <c r="D154" s="264">
        <v>170</v>
      </c>
      <c r="E154" s="345">
        <f t="shared" ref="E154:E166" si="1">IFERROR(D154/C154,0)</f>
        <v>14.166666666666666</v>
      </c>
      <c r="G154" s="7"/>
    </row>
    <row r="155" spans="1:7" ht="13.15" customHeight="1" x14ac:dyDescent="0.2">
      <c r="A155" s="279" t="s">
        <v>30</v>
      </c>
      <c r="B155" s="308" t="s">
        <v>10</v>
      </c>
      <c r="C155" s="396">
        <v>6</v>
      </c>
      <c r="D155" s="264">
        <v>75</v>
      </c>
      <c r="E155" s="345">
        <f t="shared" si="1"/>
        <v>12.5</v>
      </c>
      <c r="G155" s="7"/>
    </row>
    <row r="156" spans="1:7" x14ac:dyDescent="0.2">
      <c r="A156" s="279" t="s">
        <v>490</v>
      </c>
      <c r="B156" s="308" t="s">
        <v>10</v>
      </c>
      <c r="C156" s="396">
        <v>4</v>
      </c>
      <c r="D156" s="397">
        <v>45</v>
      </c>
      <c r="E156" s="345">
        <f t="shared" si="1"/>
        <v>11.25</v>
      </c>
      <c r="G156" s="7"/>
    </row>
    <row r="157" spans="1:7" ht="13.15" customHeight="1" x14ac:dyDescent="0.2">
      <c r="A157" s="279" t="s">
        <v>491</v>
      </c>
      <c r="B157" s="308" t="s">
        <v>10</v>
      </c>
      <c r="C157" s="396">
        <v>4</v>
      </c>
      <c r="D157" s="397">
        <v>43</v>
      </c>
      <c r="E157" s="345">
        <f t="shared" si="1"/>
        <v>10.75</v>
      </c>
      <c r="G157" s="7"/>
    </row>
    <row r="158" spans="1:7" ht="13.9" customHeight="1" x14ac:dyDescent="0.2">
      <c r="A158" s="279" t="s">
        <v>492</v>
      </c>
      <c r="B158" s="308" t="s">
        <v>10</v>
      </c>
      <c r="C158" s="396">
        <v>6</v>
      </c>
      <c r="D158" s="264">
        <v>48</v>
      </c>
      <c r="E158" s="345">
        <f t="shared" si="1"/>
        <v>8</v>
      </c>
      <c r="G158" s="7"/>
    </row>
    <row r="159" spans="1:7" ht="13.15" customHeight="1" x14ac:dyDescent="0.2">
      <c r="A159" s="279" t="s">
        <v>493</v>
      </c>
      <c r="B159" s="308" t="s">
        <v>10</v>
      </c>
      <c r="C159" s="396">
        <v>6</v>
      </c>
      <c r="D159" s="264">
        <v>50</v>
      </c>
      <c r="E159" s="345">
        <f t="shared" si="1"/>
        <v>8.3333333333333339</v>
      </c>
    </row>
    <row r="160" spans="1:7" x14ac:dyDescent="0.2">
      <c r="A160" s="279" t="s">
        <v>494</v>
      </c>
      <c r="B160" s="308" t="s">
        <v>49</v>
      </c>
      <c r="C160" s="396">
        <v>6</v>
      </c>
      <c r="D160" s="264">
        <v>75</v>
      </c>
      <c r="E160" s="345">
        <f t="shared" si="1"/>
        <v>12.5</v>
      </c>
    </row>
    <row r="161" spans="1:7" s="1" customFormat="1" x14ac:dyDescent="0.2">
      <c r="A161" s="279" t="s">
        <v>94</v>
      </c>
      <c r="B161" s="308" t="s">
        <v>49</v>
      </c>
      <c r="C161" s="396">
        <v>2</v>
      </c>
      <c r="D161" s="264">
        <v>12</v>
      </c>
      <c r="E161" s="345">
        <f t="shared" si="1"/>
        <v>6</v>
      </c>
      <c r="F161" s="35"/>
      <c r="G161" s="35"/>
    </row>
    <row r="162" spans="1:7" x14ac:dyDescent="0.2">
      <c r="A162" s="279" t="s">
        <v>68</v>
      </c>
      <c r="B162" s="308" t="s">
        <v>10</v>
      </c>
      <c r="C162" s="396">
        <v>6</v>
      </c>
      <c r="D162" s="264">
        <v>55</v>
      </c>
      <c r="E162" s="345">
        <f t="shared" si="1"/>
        <v>9.1666666666666661</v>
      </c>
    </row>
    <row r="163" spans="1:7" x14ac:dyDescent="0.2">
      <c r="A163" s="346" t="s">
        <v>11</v>
      </c>
      <c r="B163" s="347" t="s">
        <v>10</v>
      </c>
      <c r="C163" s="396">
        <v>6</v>
      </c>
      <c r="D163" s="264">
        <v>33</v>
      </c>
      <c r="E163" s="345">
        <f t="shared" si="1"/>
        <v>5.5</v>
      </c>
    </row>
    <row r="164" spans="1:7" x14ac:dyDescent="0.2">
      <c r="A164" s="279" t="s">
        <v>32</v>
      </c>
      <c r="B164" s="308" t="s">
        <v>49</v>
      </c>
      <c r="C164" s="396">
        <v>0.5</v>
      </c>
      <c r="D164" s="264">
        <v>23.7</v>
      </c>
      <c r="E164" s="345">
        <f t="shared" si="1"/>
        <v>47.4</v>
      </c>
    </row>
    <row r="165" spans="1:7" x14ac:dyDescent="0.2">
      <c r="A165" s="279" t="s">
        <v>495</v>
      </c>
      <c r="B165" s="308" t="s">
        <v>64</v>
      </c>
      <c r="C165" s="396">
        <v>6</v>
      </c>
      <c r="D165" s="264">
        <v>15</v>
      </c>
      <c r="E165" s="345">
        <f t="shared" si="1"/>
        <v>2.5</v>
      </c>
    </row>
    <row r="166" spans="1:7" x14ac:dyDescent="0.2">
      <c r="A166" s="279" t="s">
        <v>62</v>
      </c>
      <c r="B166" s="308" t="s">
        <v>50</v>
      </c>
      <c r="C166" s="396">
        <v>2</v>
      </c>
      <c r="D166" s="264">
        <v>26</v>
      </c>
      <c r="E166" s="345">
        <f t="shared" si="1"/>
        <v>13</v>
      </c>
    </row>
    <row r="167" spans="1:7" ht="13.5" thickBot="1" x14ac:dyDescent="0.25">
      <c r="A167" s="14" t="s">
        <v>5</v>
      </c>
      <c r="B167" s="15" t="s">
        <v>6</v>
      </c>
      <c r="C167" s="63">
        <f>E43+E45+E46</f>
        <v>11</v>
      </c>
      <c r="D167" s="16">
        <f>+SUM(E154:E166)</f>
        <v>161.06666666666666</v>
      </c>
      <c r="E167" s="16">
        <f t="shared" ref="E167" si="2">C167*D167</f>
        <v>1771.7333333333333</v>
      </c>
    </row>
    <row r="168" spans="1:7" ht="13.5" thickBot="1" x14ac:dyDescent="0.25">
      <c r="D168" s="114" t="s">
        <v>176</v>
      </c>
      <c r="E168" s="266">
        <v>1</v>
      </c>
      <c r="F168" s="115">
        <f>E167*E168</f>
        <v>1771.7333333333333</v>
      </c>
    </row>
    <row r="169" spans="1:7" ht="11.25" customHeight="1" x14ac:dyDescent="0.2"/>
    <row r="170" spans="1:7" ht="13.9" customHeight="1" thickBot="1" x14ac:dyDescent="0.25">
      <c r="A170" s="7" t="s">
        <v>179</v>
      </c>
    </row>
    <row r="171" spans="1:7" ht="24.75" thickBot="1" x14ac:dyDescent="0.25">
      <c r="A171" s="54" t="s">
        <v>63</v>
      </c>
      <c r="B171" s="55" t="s">
        <v>64</v>
      </c>
      <c r="C171" s="229" t="s">
        <v>225</v>
      </c>
      <c r="D171" s="56" t="s">
        <v>210</v>
      </c>
      <c r="E171" s="56" t="s">
        <v>65</v>
      </c>
      <c r="F171" s="57" t="s">
        <v>66</v>
      </c>
    </row>
    <row r="172" spans="1:7" x14ac:dyDescent="0.2">
      <c r="A172" s="257" t="s">
        <v>67</v>
      </c>
      <c r="B172" s="281" t="s">
        <v>10</v>
      </c>
      <c r="C172" s="396">
        <v>12</v>
      </c>
      <c r="D172" s="264">
        <f>D154</f>
        <v>170</v>
      </c>
      <c r="E172" s="345">
        <f t="shared" ref="E172:E178" si="3">IFERROR(D172/C172,0)</f>
        <v>14.166666666666666</v>
      </c>
    </row>
    <row r="173" spans="1:7" x14ac:dyDescent="0.2">
      <c r="A173" s="279" t="s">
        <v>30</v>
      </c>
      <c r="B173" s="308" t="s">
        <v>10</v>
      </c>
      <c r="C173" s="396">
        <v>6</v>
      </c>
      <c r="D173" s="264">
        <f>D155</f>
        <v>75</v>
      </c>
      <c r="E173" s="345">
        <f t="shared" si="3"/>
        <v>12.5</v>
      </c>
    </row>
    <row r="174" spans="1:7" x14ac:dyDescent="0.2">
      <c r="A174" s="279" t="s">
        <v>31</v>
      </c>
      <c r="B174" s="308" t="s">
        <v>10</v>
      </c>
      <c r="C174" s="396">
        <v>4</v>
      </c>
      <c r="D174" s="264">
        <f>D156</f>
        <v>45</v>
      </c>
      <c r="E174" s="345">
        <f t="shared" si="3"/>
        <v>11.25</v>
      </c>
    </row>
    <row r="175" spans="1:7" x14ac:dyDescent="0.2">
      <c r="A175" s="279" t="s">
        <v>494</v>
      </c>
      <c r="B175" s="308" t="s">
        <v>49</v>
      </c>
      <c r="C175" s="396">
        <v>4</v>
      </c>
      <c r="D175" s="264">
        <f>D160</f>
        <v>75</v>
      </c>
      <c r="E175" s="345">
        <f t="shared" si="3"/>
        <v>18.75</v>
      </c>
    </row>
    <row r="176" spans="1:7" x14ac:dyDescent="0.2">
      <c r="A176" s="279" t="s">
        <v>68</v>
      </c>
      <c r="B176" s="308" t="s">
        <v>10</v>
      </c>
      <c r="C176" s="396">
        <v>6</v>
      </c>
      <c r="D176" s="264">
        <f>D162</f>
        <v>55</v>
      </c>
      <c r="E176" s="345">
        <f t="shared" si="3"/>
        <v>9.1666666666666661</v>
      </c>
      <c r="G176" s="7"/>
    </row>
    <row r="177" spans="1:10" x14ac:dyDescent="0.2">
      <c r="A177" s="279" t="s">
        <v>495</v>
      </c>
      <c r="B177" s="308" t="s">
        <v>64</v>
      </c>
      <c r="C177" s="396">
        <v>6</v>
      </c>
      <c r="D177" s="264">
        <f>D165</f>
        <v>15</v>
      </c>
      <c r="E177" s="345">
        <f t="shared" si="3"/>
        <v>2.5</v>
      </c>
      <c r="G177" s="7"/>
    </row>
    <row r="178" spans="1:10" x14ac:dyDescent="0.2">
      <c r="A178" s="279" t="s">
        <v>62</v>
      </c>
      <c r="B178" s="308" t="s">
        <v>50</v>
      </c>
      <c r="C178" s="396">
        <v>2</v>
      </c>
      <c r="D178" s="264">
        <f>D166</f>
        <v>26</v>
      </c>
      <c r="E178" s="345">
        <f t="shared" si="3"/>
        <v>13</v>
      </c>
      <c r="G178" s="7"/>
    </row>
    <row r="179" spans="1:10" ht="13.5" thickBot="1" x14ac:dyDescent="0.25">
      <c r="A179" s="14" t="s">
        <v>5</v>
      </c>
      <c r="B179" s="15" t="s">
        <v>6</v>
      </c>
      <c r="C179" s="63">
        <f>C84</f>
        <v>1</v>
      </c>
      <c r="D179" s="16">
        <f>+SUM(E172:E178)</f>
        <v>81.333333333333329</v>
      </c>
      <c r="E179" s="16">
        <f t="shared" ref="E179" si="4">C179*D179</f>
        <v>81.333333333333329</v>
      </c>
      <c r="G179" s="7"/>
    </row>
    <row r="180" spans="1:10" ht="13.5" thickBot="1" x14ac:dyDescent="0.25">
      <c r="D180" s="114" t="s">
        <v>176</v>
      </c>
      <c r="E180" s="266">
        <v>1</v>
      </c>
      <c r="F180" s="115">
        <f>E179*E180</f>
        <v>81.333333333333329</v>
      </c>
      <c r="G180" s="7"/>
    </row>
    <row r="181" spans="1:10" ht="11.25" customHeight="1" thickBot="1" x14ac:dyDescent="0.25">
      <c r="G181" s="7"/>
    </row>
    <row r="182" spans="1:10" ht="13.5" thickBot="1" x14ac:dyDescent="0.25">
      <c r="A182" s="22" t="s">
        <v>180</v>
      </c>
      <c r="B182" s="26"/>
      <c r="C182" s="26"/>
      <c r="D182" s="27"/>
      <c r="E182" s="28"/>
      <c r="F182" s="19">
        <f>+F168+F180</f>
        <v>1853.0666666666666</v>
      </c>
      <c r="G182" s="7"/>
    </row>
    <row r="183" spans="1:10" ht="11.25" customHeight="1" x14ac:dyDescent="0.2">
      <c r="G183" s="7"/>
    </row>
    <row r="184" spans="1:10" x14ac:dyDescent="0.2">
      <c r="A184" s="9" t="s">
        <v>319</v>
      </c>
      <c r="G184" s="7"/>
    </row>
    <row r="185" spans="1:10" ht="12.75" hidden="1" customHeight="1" x14ac:dyDescent="0.2">
      <c r="B185" s="98"/>
      <c r="G185" s="7"/>
    </row>
    <row r="186" spans="1:10" x14ac:dyDescent="0.2">
      <c r="A186" s="5" t="s">
        <v>320</v>
      </c>
      <c r="G186" s="7"/>
    </row>
    <row r="187" spans="1:10" ht="11.25" hidden="1" customHeight="1" x14ac:dyDescent="0.2">
      <c r="G187" s="7"/>
    </row>
    <row r="188" spans="1:10" ht="12.75" hidden="1" customHeight="1" x14ac:dyDescent="0.2">
      <c r="A188" s="98" t="s">
        <v>47</v>
      </c>
      <c r="G188" s="7"/>
    </row>
    <row r="189" spans="1:10" ht="13.5" hidden="1" thickBot="1" x14ac:dyDescent="0.25">
      <c r="A189" s="54" t="s">
        <v>63</v>
      </c>
      <c r="B189" s="55" t="s">
        <v>64</v>
      </c>
      <c r="C189" s="55" t="s">
        <v>41</v>
      </c>
      <c r="D189" s="56" t="s">
        <v>210</v>
      </c>
      <c r="E189" s="56" t="s">
        <v>65</v>
      </c>
      <c r="F189" s="57" t="s">
        <v>66</v>
      </c>
      <c r="G189" s="7"/>
    </row>
    <row r="190" spans="1:10" hidden="1" x14ac:dyDescent="0.2">
      <c r="A190" s="11" t="s">
        <v>106</v>
      </c>
      <c r="B190" s="12" t="s">
        <v>10</v>
      </c>
      <c r="C190" s="12">
        <v>1</v>
      </c>
      <c r="D190" s="79">
        <v>223640</v>
      </c>
      <c r="E190" s="13">
        <f>C190*D190</f>
        <v>223640</v>
      </c>
      <c r="G190" s="7"/>
    </row>
    <row r="191" spans="1:10" hidden="1" x14ac:dyDescent="0.2">
      <c r="A191" s="14" t="s">
        <v>103</v>
      </c>
      <c r="B191" s="15" t="s">
        <v>104</v>
      </c>
      <c r="C191" s="78">
        <v>10</v>
      </c>
      <c r="D191" s="75"/>
      <c r="E191" s="16"/>
      <c r="G191" s="7"/>
    </row>
    <row r="192" spans="1:10" hidden="1" x14ac:dyDescent="0.2">
      <c r="A192" s="14" t="s">
        <v>187</v>
      </c>
      <c r="B192" s="15" t="s">
        <v>104</v>
      </c>
      <c r="C192" s="78">
        <v>5</v>
      </c>
      <c r="D192" s="16"/>
      <c r="E192" s="16"/>
      <c r="F192" s="18"/>
      <c r="I192" s="77"/>
      <c r="J192" s="77"/>
    </row>
    <row r="193" spans="1:10" hidden="1" x14ac:dyDescent="0.2">
      <c r="A193" s="14" t="s">
        <v>105</v>
      </c>
      <c r="B193" s="15" t="s">
        <v>2</v>
      </c>
      <c r="C193" s="129">
        <f>IFERROR(VLOOKUP(C191,'8. Depreciação'!A3:B17,2,FALSE),0)</f>
        <v>65.180000000000007</v>
      </c>
      <c r="D193" s="16">
        <f>E190</f>
        <v>223640</v>
      </c>
      <c r="E193" s="16">
        <f>C193*D193/100</f>
        <v>145768.55200000003</v>
      </c>
    </row>
    <row r="194" spans="1:10" ht="13.5" hidden="1" thickBot="1" x14ac:dyDescent="0.25">
      <c r="A194" s="236" t="s">
        <v>51</v>
      </c>
      <c r="B194" s="237" t="s">
        <v>8</v>
      </c>
      <c r="C194" s="237">
        <f>C191*12</f>
        <v>120</v>
      </c>
      <c r="D194" s="238">
        <f>IF(C192&lt;=C191,E193,0)</f>
        <v>145768.55200000003</v>
      </c>
      <c r="E194" s="238">
        <f>IFERROR(D194/C194,0)</f>
        <v>1214.7379333333336</v>
      </c>
    </row>
    <row r="195" spans="1:10" hidden="1" x14ac:dyDescent="0.2">
      <c r="A195" s="257" t="s">
        <v>305</v>
      </c>
      <c r="B195" s="12" t="s">
        <v>10</v>
      </c>
      <c r="C195" s="12">
        <f>C190</f>
        <v>1</v>
      </c>
      <c r="D195" s="79">
        <v>50000</v>
      </c>
      <c r="E195" s="13">
        <f>C195*D195</f>
        <v>50000</v>
      </c>
      <c r="G195" s="7"/>
    </row>
    <row r="196" spans="1:10" hidden="1" x14ac:dyDescent="0.2">
      <c r="A196" s="279" t="s">
        <v>306</v>
      </c>
      <c r="B196" s="15" t="s">
        <v>104</v>
      </c>
      <c r="C196" s="78">
        <v>10</v>
      </c>
      <c r="D196" s="16"/>
      <c r="E196" s="16"/>
    </row>
    <row r="197" spans="1:10" hidden="1" x14ac:dyDescent="0.2">
      <c r="A197" s="279" t="s">
        <v>307</v>
      </c>
      <c r="B197" s="15" t="s">
        <v>104</v>
      </c>
      <c r="C197" s="78">
        <v>5</v>
      </c>
      <c r="D197" s="16"/>
      <c r="E197" s="16"/>
      <c r="F197" s="18"/>
      <c r="I197" s="77"/>
      <c r="J197" s="77"/>
    </row>
    <row r="198" spans="1:10" hidden="1" x14ac:dyDescent="0.2">
      <c r="A198" s="279" t="s">
        <v>308</v>
      </c>
      <c r="B198" s="15" t="s">
        <v>2</v>
      </c>
      <c r="C198" s="130">
        <f>IFERROR(VLOOKUP(C196,'8. Depreciação'!A3:B17,2,FALSE),0)</f>
        <v>65.180000000000007</v>
      </c>
      <c r="D198" s="16">
        <f>E195</f>
        <v>50000</v>
      </c>
      <c r="E198" s="16">
        <f>C198*D198/100</f>
        <v>32590.000000000004</v>
      </c>
    </row>
    <row r="199" spans="1:10" hidden="1" x14ac:dyDescent="0.2">
      <c r="A199" s="94" t="s">
        <v>309</v>
      </c>
      <c r="B199" s="95" t="s">
        <v>8</v>
      </c>
      <c r="C199" s="95">
        <f>C196*12</f>
        <v>120</v>
      </c>
      <c r="D199" s="96">
        <f>IF(C197&lt;=C196,E198,0)</f>
        <v>32590.000000000004</v>
      </c>
      <c r="E199" s="96">
        <f>IFERROR(D199/C199,0)</f>
        <v>271.58333333333337</v>
      </c>
    </row>
    <row r="200" spans="1:10" hidden="1" x14ac:dyDescent="0.2">
      <c r="A200" s="108" t="s">
        <v>228</v>
      </c>
      <c r="B200" s="109"/>
      <c r="C200" s="109"/>
      <c r="D200" s="110"/>
      <c r="E200" s="111">
        <f>E194+E199</f>
        <v>1486.3212666666668</v>
      </c>
    </row>
    <row r="201" spans="1:10" hidden="1" x14ac:dyDescent="0.2">
      <c r="A201" s="94" t="s">
        <v>229</v>
      </c>
      <c r="B201" s="95" t="s">
        <v>10</v>
      </c>
      <c r="C201" s="78">
        <v>0</v>
      </c>
      <c r="D201" s="96">
        <f>E200</f>
        <v>1486.3212666666668</v>
      </c>
      <c r="E201" s="111">
        <f>C201*D201</f>
        <v>0</v>
      </c>
    </row>
    <row r="202" spans="1:10" ht="13.5" hidden="1" thickBot="1" x14ac:dyDescent="0.25">
      <c r="A202" s="234"/>
      <c r="B202" s="234"/>
      <c r="C202" s="234"/>
      <c r="D202" s="114" t="s">
        <v>176</v>
      </c>
      <c r="E202" s="266">
        <f>$B$52</f>
        <v>1</v>
      </c>
      <c r="F202" s="19">
        <f>E201*E202</f>
        <v>0</v>
      </c>
    </row>
    <row r="203" spans="1:10" ht="11.25" hidden="1" customHeight="1" x14ac:dyDescent="0.2"/>
    <row r="204" spans="1:10" hidden="1" x14ac:dyDescent="0.2">
      <c r="A204" s="98" t="s">
        <v>111</v>
      </c>
    </row>
    <row r="205" spans="1:10" ht="13.5" hidden="1" thickBot="1" x14ac:dyDescent="0.25">
      <c r="A205" s="100" t="s">
        <v>63</v>
      </c>
      <c r="B205" s="101" t="s">
        <v>64</v>
      </c>
      <c r="C205" s="101" t="s">
        <v>41</v>
      </c>
      <c r="D205" s="56" t="s">
        <v>210</v>
      </c>
      <c r="E205" s="102" t="s">
        <v>65</v>
      </c>
      <c r="F205" s="57" t="s">
        <v>66</v>
      </c>
      <c r="I205" s="77"/>
      <c r="J205" s="77"/>
    </row>
    <row r="206" spans="1:10" hidden="1" x14ac:dyDescent="0.2">
      <c r="A206" s="14" t="s">
        <v>109</v>
      </c>
      <c r="B206" s="15" t="s">
        <v>10</v>
      </c>
      <c r="C206" s="12">
        <v>1</v>
      </c>
      <c r="D206" s="16">
        <f>D190</f>
        <v>223640</v>
      </c>
      <c r="E206" s="16">
        <f>C206*D206</f>
        <v>223640</v>
      </c>
      <c r="F206" s="18"/>
      <c r="I206" s="77"/>
      <c r="J206" s="77"/>
    </row>
    <row r="207" spans="1:10" hidden="1" x14ac:dyDescent="0.2">
      <c r="A207" s="14" t="s">
        <v>190</v>
      </c>
      <c r="B207" s="15" t="s">
        <v>2</v>
      </c>
      <c r="C207" s="78">
        <v>6</v>
      </c>
      <c r="D207" s="16"/>
      <c r="E207" s="16"/>
      <c r="F207" s="18"/>
      <c r="I207" s="77"/>
      <c r="J207" s="77"/>
    </row>
    <row r="208" spans="1:10" hidden="1" x14ac:dyDescent="0.2">
      <c r="A208" s="14" t="s">
        <v>188</v>
      </c>
      <c r="B208" s="15" t="s">
        <v>34</v>
      </c>
      <c r="C208" s="135">
        <f>IFERROR(IF(C192&lt;=C191,E190-(C193/(100*C191)*C192)*E190,E190-E193),0)</f>
        <v>150755.72399999999</v>
      </c>
      <c r="D208" s="16"/>
      <c r="E208" s="16"/>
      <c r="F208" s="18"/>
      <c r="I208" s="77"/>
      <c r="J208" s="77"/>
    </row>
    <row r="209" spans="1:10" hidden="1" x14ac:dyDescent="0.2">
      <c r="A209" s="14" t="s">
        <v>114</v>
      </c>
      <c r="B209" s="15" t="s">
        <v>34</v>
      </c>
      <c r="C209" s="75">
        <f>IFERROR(IF(C192&gt;=C191,C208,((((C208)-(E190-E193))*(((C191-C192)+1)/(2*(C191-C192))))+(E190-E193))),0)</f>
        <v>121602.01359999998</v>
      </c>
      <c r="D209" s="16"/>
      <c r="E209" s="16"/>
      <c r="F209" s="18"/>
      <c r="I209" s="77"/>
      <c r="J209" s="77"/>
    </row>
    <row r="210" spans="1:10" ht="13.5" hidden="1" thickBot="1" x14ac:dyDescent="0.25">
      <c r="A210" s="236" t="s">
        <v>115</v>
      </c>
      <c r="B210" s="237" t="s">
        <v>34</v>
      </c>
      <c r="C210" s="237"/>
      <c r="D210" s="239">
        <f>C207*C209/12/100</f>
        <v>608.01006799999993</v>
      </c>
      <c r="E210" s="238">
        <f>D210</f>
        <v>608.01006799999993</v>
      </c>
      <c r="F210" s="18"/>
      <c r="I210" s="77"/>
      <c r="J210" s="77"/>
    </row>
    <row r="211" spans="1:10" hidden="1" x14ac:dyDescent="0.2">
      <c r="A211" s="11" t="s">
        <v>110</v>
      </c>
      <c r="B211" s="12" t="s">
        <v>10</v>
      </c>
      <c r="C211" s="12">
        <f>C195</f>
        <v>1</v>
      </c>
      <c r="D211" s="13">
        <f>D195</f>
        <v>50000</v>
      </c>
      <c r="E211" s="13">
        <f>C211*D211</f>
        <v>50000</v>
      </c>
      <c r="F211" s="18"/>
      <c r="I211" s="77"/>
      <c r="J211" s="77"/>
    </row>
    <row r="212" spans="1:10" hidden="1" x14ac:dyDescent="0.2">
      <c r="A212" s="14" t="s">
        <v>190</v>
      </c>
      <c r="B212" s="15" t="s">
        <v>2</v>
      </c>
      <c r="C212" s="15">
        <f>C207</f>
        <v>6</v>
      </c>
      <c r="D212" s="16"/>
      <c r="E212" s="16"/>
      <c r="F212" s="18"/>
      <c r="I212" s="77"/>
      <c r="J212" s="77"/>
    </row>
    <row r="213" spans="1:10" hidden="1" x14ac:dyDescent="0.2">
      <c r="A213" s="14" t="s">
        <v>189</v>
      </c>
      <c r="B213" s="15" t="s">
        <v>34</v>
      </c>
      <c r="C213" s="135">
        <f>IFERROR(IF(C197&lt;=C196,E195-(C198/(100*C196)*C197)*E195,E195-E198),0)</f>
        <v>33705</v>
      </c>
      <c r="D213" s="16"/>
      <c r="E213" s="16"/>
      <c r="F213" s="18"/>
      <c r="I213" s="77"/>
      <c r="J213" s="77"/>
    </row>
    <row r="214" spans="1:10" hidden="1" x14ac:dyDescent="0.2">
      <c r="A214" s="14" t="s">
        <v>116</v>
      </c>
      <c r="B214" s="15" t="s">
        <v>34</v>
      </c>
      <c r="C214" s="75">
        <f>IFERROR(IF(C197&gt;=C196,C213,((((C213)-(E195-E198))*(((C196-C197)+1)/(2*(C196-C197))))+(E195-E198))),0)</f>
        <v>27187</v>
      </c>
      <c r="D214" s="16"/>
      <c r="E214" s="16"/>
      <c r="F214" s="18"/>
      <c r="I214" s="77"/>
      <c r="J214" s="77"/>
    </row>
    <row r="215" spans="1:10" hidden="1" x14ac:dyDescent="0.2">
      <c r="A215" s="94" t="s">
        <v>113</v>
      </c>
      <c r="B215" s="95" t="s">
        <v>34</v>
      </c>
      <c r="C215" s="95"/>
      <c r="D215" s="104">
        <f>C212*C214/12/100</f>
        <v>135.935</v>
      </c>
      <c r="E215" s="96">
        <f>D215</f>
        <v>135.935</v>
      </c>
      <c r="F215" s="18"/>
      <c r="I215" s="77"/>
      <c r="J215" s="77"/>
    </row>
    <row r="216" spans="1:10" hidden="1" x14ac:dyDescent="0.2">
      <c r="A216" s="108" t="s">
        <v>228</v>
      </c>
      <c r="B216" s="109"/>
      <c r="C216" s="109"/>
      <c r="D216" s="110"/>
      <c r="E216" s="111">
        <f>E210+E215</f>
        <v>743.94506799999999</v>
      </c>
      <c r="F216" s="18"/>
      <c r="I216" s="77"/>
      <c r="J216" s="77"/>
    </row>
    <row r="217" spans="1:10" hidden="1" x14ac:dyDescent="0.2">
      <c r="A217" s="94" t="s">
        <v>229</v>
      </c>
      <c r="B217" s="95" t="s">
        <v>10</v>
      </c>
      <c r="C217" s="15">
        <f>C201</f>
        <v>0</v>
      </c>
      <c r="D217" s="96">
        <f>E216</f>
        <v>743.94506799999999</v>
      </c>
      <c r="E217" s="111">
        <f>C217*D217</f>
        <v>0</v>
      </c>
      <c r="F217" s="18"/>
      <c r="I217" s="77"/>
      <c r="J217" s="77"/>
    </row>
    <row r="218" spans="1:10" ht="13.5" hidden="1" thickBot="1" x14ac:dyDescent="0.25">
      <c r="C218" s="17"/>
      <c r="D218" s="114" t="s">
        <v>176</v>
      </c>
      <c r="E218" s="266">
        <f>$B$52</f>
        <v>1</v>
      </c>
      <c r="F218" s="19">
        <f>E217*E218</f>
        <v>0</v>
      </c>
      <c r="I218" s="77"/>
      <c r="J218" s="77"/>
    </row>
    <row r="219" spans="1:10" ht="11.25" hidden="1" customHeight="1" x14ac:dyDescent="0.2">
      <c r="I219" s="77"/>
      <c r="J219" s="77"/>
    </row>
    <row r="220" spans="1:10" hidden="1" x14ac:dyDescent="0.2">
      <c r="A220" s="7" t="s">
        <v>52</v>
      </c>
      <c r="I220" s="77"/>
      <c r="J220" s="77"/>
    </row>
    <row r="221" spans="1:10" ht="13.5" hidden="1" thickBot="1" x14ac:dyDescent="0.25">
      <c r="A221" s="54" t="s">
        <v>63</v>
      </c>
      <c r="B221" s="55" t="s">
        <v>64</v>
      </c>
      <c r="C221" s="55" t="s">
        <v>41</v>
      </c>
      <c r="D221" s="56" t="s">
        <v>210</v>
      </c>
      <c r="E221" s="56" t="s">
        <v>65</v>
      </c>
      <c r="F221" s="57" t="s">
        <v>66</v>
      </c>
      <c r="I221" s="77"/>
      <c r="J221" s="77"/>
    </row>
    <row r="222" spans="1:10" hidden="1" x14ac:dyDescent="0.2">
      <c r="A222" s="11" t="s">
        <v>12</v>
      </c>
      <c r="B222" s="12" t="s">
        <v>10</v>
      </c>
      <c r="C222" s="13">
        <f>C201</f>
        <v>0</v>
      </c>
      <c r="D222" s="13">
        <f>0.01*($E$190)</f>
        <v>2236.4</v>
      </c>
      <c r="E222" s="13">
        <f>C222*D222</f>
        <v>0</v>
      </c>
      <c r="I222" s="77"/>
      <c r="J222" s="77"/>
    </row>
    <row r="223" spans="1:10" hidden="1" x14ac:dyDescent="0.2">
      <c r="A223" s="14" t="s">
        <v>175</v>
      </c>
      <c r="B223" s="15" t="s">
        <v>10</v>
      </c>
      <c r="C223" s="13">
        <f>C201</f>
        <v>0</v>
      </c>
      <c r="D223" s="81">
        <v>150</v>
      </c>
      <c r="E223" s="16">
        <f>C223*D223</f>
        <v>0</v>
      </c>
      <c r="I223" s="77"/>
      <c r="J223" s="77"/>
    </row>
    <row r="224" spans="1:10" hidden="1" x14ac:dyDescent="0.2">
      <c r="A224" s="14" t="s">
        <v>13</v>
      </c>
      <c r="B224" s="15" t="s">
        <v>10</v>
      </c>
      <c r="C224" s="13">
        <f>C201</f>
        <v>0</v>
      </c>
      <c r="D224" s="81">
        <v>2510</v>
      </c>
      <c r="E224" s="16">
        <f>C224*D224</f>
        <v>0</v>
      </c>
      <c r="F224" s="29"/>
      <c r="I224" s="77"/>
      <c r="J224" s="77"/>
    </row>
    <row r="225" spans="1:10" hidden="1" x14ac:dyDescent="0.2">
      <c r="A225" s="94" t="s">
        <v>14</v>
      </c>
      <c r="B225" s="95" t="s">
        <v>8</v>
      </c>
      <c r="C225" s="95">
        <v>12</v>
      </c>
      <c r="D225" s="96">
        <f>SUM(E222:E224)</f>
        <v>0</v>
      </c>
      <c r="E225" s="96">
        <f>D225/C225</f>
        <v>0</v>
      </c>
      <c r="I225" s="77"/>
      <c r="J225" s="77"/>
    </row>
    <row r="226" spans="1:10" ht="13.5" hidden="1" thickBot="1" x14ac:dyDescent="0.25">
      <c r="D226" s="114" t="s">
        <v>176</v>
      </c>
      <c r="E226" s="266">
        <f>$B$52</f>
        <v>1</v>
      </c>
      <c r="F226" s="115">
        <f>E225*E226</f>
        <v>0</v>
      </c>
      <c r="I226" s="77"/>
      <c r="J226" s="77"/>
    </row>
    <row r="227" spans="1:10" ht="11.25" hidden="1" customHeight="1" x14ac:dyDescent="0.2">
      <c r="I227" s="77"/>
      <c r="J227" s="77"/>
    </row>
    <row r="228" spans="1:10" hidden="1" x14ac:dyDescent="0.2">
      <c r="A228" s="7" t="s">
        <v>53</v>
      </c>
      <c r="B228" s="30"/>
      <c r="I228" s="77"/>
      <c r="J228" s="77"/>
    </row>
    <row r="229" spans="1:10" hidden="1" x14ac:dyDescent="0.2">
      <c r="B229" s="30"/>
      <c r="I229" s="77"/>
      <c r="J229" s="77"/>
    </row>
    <row r="230" spans="1:10" hidden="1" x14ac:dyDescent="0.2">
      <c r="A230" s="94" t="s">
        <v>118</v>
      </c>
      <c r="B230" s="105">
        <v>0</v>
      </c>
      <c r="I230" s="77"/>
      <c r="J230" s="77"/>
    </row>
    <row r="231" spans="1:10" hidden="1" x14ac:dyDescent="0.2">
      <c r="B231" s="30"/>
      <c r="I231" s="77"/>
      <c r="J231" s="77"/>
    </row>
    <row r="232" spans="1:10" ht="13.5" hidden="1" thickBot="1" x14ac:dyDescent="0.25">
      <c r="A232" s="54" t="s">
        <v>63</v>
      </c>
      <c r="B232" s="55" t="s">
        <v>64</v>
      </c>
      <c r="C232" s="55" t="s">
        <v>227</v>
      </c>
      <c r="D232" s="56" t="s">
        <v>210</v>
      </c>
      <c r="E232" s="56" t="s">
        <v>65</v>
      </c>
      <c r="F232" s="57" t="s">
        <v>66</v>
      </c>
      <c r="I232" s="77"/>
      <c r="J232" s="77"/>
    </row>
    <row r="233" spans="1:10" hidden="1" x14ac:dyDescent="0.2">
      <c r="A233" s="11" t="s">
        <v>15</v>
      </c>
      <c r="B233" s="12" t="s">
        <v>16</v>
      </c>
      <c r="C233" s="88">
        <v>4</v>
      </c>
      <c r="D233" s="89">
        <v>3.43</v>
      </c>
      <c r="E233" s="13"/>
      <c r="I233" s="77"/>
      <c r="J233" s="77"/>
    </row>
    <row r="234" spans="1:10" hidden="1" x14ac:dyDescent="0.2">
      <c r="A234" s="14" t="s">
        <v>17</v>
      </c>
      <c r="B234" s="15" t="s">
        <v>18</v>
      </c>
      <c r="C234" s="86">
        <f>B230</f>
        <v>0</v>
      </c>
      <c r="D234" s="233">
        <f>IFERROR(+D233/C233,"-")</f>
        <v>0.85750000000000004</v>
      </c>
      <c r="E234" s="16">
        <f>IFERROR(C234*D234,"-")</f>
        <v>0</v>
      </c>
      <c r="I234" s="77"/>
      <c r="J234" s="77"/>
    </row>
    <row r="235" spans="1:10" hidden="1" x14ac:dyDescent="0.2">
      <c r="A235" s="14" t="s">
        <v>211</v>
      </c>
      <c r="B235" s="15" t="s">
        <v>19</v>
      </c>
      <c r="C235" s="91">
        <v>1.33</v>
      </c>
      <c r="D235" s="81">
        <v>12.4</v>
      </c>
      <c r="E235" s="16"/>
      <c r="G235" s="103"/>
      <c r="I235" s="77"/>
      <c r="J235" s="77"/>
    </row>
    <row r="236" spans="1:10" hidden="1" x14ac:dyDescent="0.2">
      <c r="A236" s="14" t="s">
        <v>20</v>
      </c>
      <c r="B236" s="15" t="s">
        <v>18</v>
      </c>
      <c r="C236" s="86">
        <f>C234</f>
        <v>0</v>
      </c>
      <c r="D236" s="230">
        <f>+C235*D235/1000</f>
        <v>1.6492E-2</v>
      </c>
      <c r="E236" s="16">
        <f>C236*D236</f>
        <v>0</v>
      </c>
      <c r="G236" s="103"/>
      <c r="I236" s="77"/>
      <c r="J236" s="77"/>
    </row>
    <row r="237" spans="1:10" hidden="1" x14ac:dyDescent="0.2">
      <c r="A237" s="14" t="s">
        <v>212</v>
      </c>
      <c r="B237" s="15" t="s">
        <v>19</v>
      </c>
      <c r="C237" s="91">
        <v>0.18</v>
      </c>
      <c r="D237" s="81">
        <v>22</v>
      </c>
      <c r="E237" s="16"/>
      <c r="G237" s="103"/>
      <c r="I237" s="77"/>
      <c r="J237" s="77"/>
    </row>
    <row r="238" spans="1:10" hidden="1" x14ac:dyDescent="0.2">
      <c r="A238" s="14" t="s">
        <v>21</v>
      </c>
      <c r="B238" s="15" t="s">
        <v>18</v>
      </c>
      <c r="C238" s="86">
        <f>C234</f>
        <v>0</v>
      </c>
      <c r="D238" s="230">
        <f>+C237*D237/1000</f>
        <v>3.96E-3</v>
      </c>
      <c r="E238" s="16">
        <f>C238*D238</f>
        <v>0</v>
      </c>
      <c r="G238" s="103"/>
      <c r="I238" s="77"/>
      <c r="J238" s="77"/>
    </row>
    <row r="239" spans="1:10" hidden="1" x14ac:dyDescent="0.2">
      <c r="A239" s="14" t="s">
        <v>213</v>
      </c>
      <c r="B239" s="15" t="s">
        <v>19</v>
      </c>
      <c r="C239" s="91">
        <v>25</v>
      </c>
      <c r="D239" s="81">
        <v>1.8</v>
      </c>
      <c r="E239" s="16"/>
      <c r="G239" s="103"/>
      <c r="I239" s="77"/>
      <c r="J239" s="77"/>
    </row>
    <row r="240" spans="1:10" hidden="1" x14ac:dyDescent="0.2">
      <c r="A240" s="14" t="s">
        <v>22</v>
      </c>
      <c r="B240" s="15" t="s">
        <v>18</v>
      </c>
      <c r="C240" s="86">
        <f>C234</f>
        <v>0</v>
      </c>
      <c r="D240" s="230">
        <f>+C239*D239/1000</f>
        <v>4.4999999999999998E-2</v>
      </c>
      <c r="E240" s="16">
        <f>C240*D240</f>
        <v>0</v>
      </c>
      <c r="G240" s="103"/>
      <c r="I240" s="77"/>
      <c r="J240" s="77"/>
    </row>
    <row r="241" spans="1:10" hidden="1" x14ac:dyDescent="0.2">
      <c r="A241" s="14" t="s">
        <v>23</v>
      </c>
      <c r="B241" s="15" t="s">
        <v>24</v>
      </c>
      <c r="C241" s="91">
        <v>2</v>
      </c>
      <c r="D241" s="81">
        <v>8.4499999999999993</v>
      </c>
      <c r="E241" s="16"/>
      <c r="G241" s="103"/>
      <c r="I241" s="77"/>
      <c r="J241" s="77"/>
    </row>
    <row r="242" spans="1:10" hidden="1" x14ac:dyDescent="0.2">
      <c r="A242" s="14" t="s">
        <v>25</v>
      </c>
      <c r="B242" s="15" t="s">
        <v>18</v>
      </c>
      <c r="C242" s="86">
        <f>C234</f>
        <v>0</v>
      </c>
      <c r="D242" s="230">
        <f>+C241*D241/1000</f>
        <v>1.6899999999999998E-2</v>
      </c>
      <c r="E242" s="16">
        <f>C242*D242</f>
        <v>0</v>
      </c>
      <c r="G242" s="103"/>
      <c r="I242" s="77"/>
      <c r="J242" s="77"/>
    </row>
    <row r="243" spans="1:10" ht="13.5" hidden="1" thickBot="1" x14ac:dyDescent="0.25">
      <c r="A243" s="94" t="s">
        <v>226</v>
      </c>
      <c r="B243" s="95" t="s">
        <v>119</v>
      </c>
      <c r="C243" s="231"/>
      <c r="D243" s="232">
        <f>IFERROR(D234+D236+D238+D240+D242,0)</f>
        <v>0.93985200000000002</v>
      </c>
      <c r="E243" s="16"/>
      <c r="G243" s="103"/>
      <c r="I243" s="77"/>
      <c r="J243" s="77"/>
    </row>
    <row r="244" spans="1:10" ht="13.5" hidden="1" thickBot="1" x14ac:dyDescent="0.25">
      <c r="F244" s="19">
        <f>SUM(E233:E242)</f>
        <v>0</v>
      </c>
      <c r="I244" s="77"/>
      <c r="J244" s="77"/>
    </row>
    <row r="245" spans="1:10" ht="12.75" hidden="1" customHeight="1" x14ac:dyDescent="0.2">
      <c r="I245" s="77"/>
      <c r="J245" s="77"/>
    </row>
    <row r="246" spans="1:10" ht="13.5" thickBot="1" x14ac:dyDescent="0.25">
      <c r="A246" s="5" t="s">
        <v>428</v>
      </c>
      <c r="I246" s="77"/>
      <c r="J246" s="77"/>
    </row>
    <row r="247" spans="1:10" ht="13.5" thickBot="1" x14ac:dyDescent="0.25">
      <c r="A247" s="54" t="s">
        <v>63</v>
      </c>
      <c r="B247" s="55" t="s">
        <v>64</v>
      </c>
      <c r="C247" s="55" t="s">
        <v>41</v>
      </c>
      <c r="D247" s="56" t="s">
        <v>210</v>
      </c>
      <c r="E247" s="56" t="s">
        <v>65</v>
      </c>
      <c r="F247" s="57" t="s">
        <v>66</v>
      </c>
      <c r="I247" s="77"/>
      <c r="J247" s="77"/>
    </row>
    <row r="248" spans="1:10" ht="39" thickBot="1" x14ac:dyDescent="0.25">
      <c r="A248" s="355" t="s">
        <v>458</v>
      </c>
      <c r="B248" s="281" t="s">
        <v>316</v>
      </c>
      <c r="C248" s="86">
        <f>C126*4</f>
        <v>84</v>
      </c>
      <c r="D248" s="79">
        <v>150</v>
      </c>
      <c r="E248" s="13">
        <f>C248*D248</f>
        <v>12600</v>
      </c>
      <c r="I248" s="77"/>
      <c r="J248" s="77"/>
    </row>
    <row r="249" spans="1:10" ht="13.5" thickBot="1" x14ac:dyDescent="0.25">
      <c r="F249" s="19">
        <f>E248</f>
        <v>12600</v>
      </c>
      <c r="I249" s="77"/>
      <c r="J249" s="77"/>
    </row>
    <row r="250" spans="1:10" ht="11.25" customHeight="1" x14ac:dyDescent="0.2">
      <c r="I250" s="77"/>
      <c r="J250" s="77"/>
    </row>
    <row r="251" spans="1:10" ht="13.5" thickBot="1" x14ac:dyDescent="0.25">
      <c r="A251" s="5" t="s">
        <v>429</v>
      </c>
      <c r="I251" s="77"/>
      <c r="J251" s="77"/>
    </row>
    <row r="252" spans="1:10" ht="13.5" thickBot="1" x14ac:dyDescent="0.25">
      <c r="A252" s="54" t="s">
        <v>63</v>
      </c>
      <c r="B252" s="55" t="s">
        <v>64</v>
      </c>
      <c r="C252" s="55" t="s">
        <v>41</v>
      </c>
      <c r="D252" s="56" t="s">
        <v>210</v>
      </c>
      <c r="E252" s="56" t="s">
        <v>65</v>
      </c>
      <c r="F252" s="57" t="s">
        <v>66</v>
      </c>
      <c r="I252" s="77"/>
      <c r="J252" s="77"/>
    </row>
    <row r="253" spans="1:10" ht="13.5" thickBot="1" x14ac:dyDescent="0.25">
      <c r="A253" s="257" t="s">
        <v>430</v>
      </c>
      <c r="B253" s="12" t="s">
        <v>10</v>
      </c>
      <c r="C253" s="87">
        <v>1</v>
      </c>
      <c r="D253" s="79">
        <v>3000</v>
      </c>
      <c r="E253" s="13">
        <f>C253*D253</f>
        <v>3000</v>
      </c>
      <c r="I253" s="77"/>
      <c r="J253" s="77"/>
    </row>
    <row r="254" spans="1:10" ht="13.5" hidden="1" thickBot="1" x14ac:dyDescent="0.25">
      <c r="A254" s="11" t="s">
        <v>120</v>
      </c>
      <c r="B254" s="12" t="s">
        <v>10</v>
      </c>
      <c r="C254" s="87">
        <v>0</v>
      </c>
      <c r="D254" s="97"/>
      <c r="E254" s="13"/>
      <c r="I254" s="77"/>
      <c r="J254" s="77"/>
    </row>
    <row r="255" spans="1:10" ht="13.5" hidden="1" thickBot="1" x14ac:dyDescent="0.25">
      <c r="A255" s="11" t="s">
        <v>70</v>
      </c>
      <c r="B255" s="12" t="s">
        <v>10</v>
      </c>
      <c r="C255" s="13">
        <f>C253*C254</f>
        <v>0</v>
      </c>
      <c r="D255" s="79">
        <v>550</v>
      </c>
      <c r="E255" s="13">
        <f>C255*D255</f>
        <v>0</v>
      </c>
      <c r="I255" s="77"/>
      <c r="J255" s="77"/>
    </row>
    <row r="256" spans="1:10" ht="13.5" hidden="1" thickBot="1" x14ac:dyDescent="0.25">
      <c r="A256" s="14" t="s">
        <v>95</v>
      </c>
      <c r="B256" s="15" t="s">
        <v>26</v>
      </c>
      <c r="C256" s="90">
        <v>1</v>
      </c>
      <c r="D256" s="16">
        <f>E253+E255</f>
        <v>3000</v>
      </c>
      <c r="E256" s="16">
        <f>IFERROR(D256/C256,"-")</f>
        <v>3000</v>
      </c>
      <c r="I256" s="77"/>
      <c r="J256" s="77"/>
    </row>
    <row r="257" spans="1:10" ht="13.5" hidden="1" thickBot="1" x14ac:dyDescent="0.25">
      <c r="A257" s="14" t="s">
        <v>56</v>
      </c>
      <c r="B257" s="15" t="s">
        <v>18</v>
      </c>
      <c r="C257" s="86">
        <v>1</v>
      </c>
      <c r="D257" s="16">
        <f>E256</f>
        <v>3000</v>
      </c>
      <c r="E257" s="16">
        <f>IFERROR(C257*D257,0)</f>
        <v>3000</v>
      </c>
      <c r="I257" s="77"/>
      <c r="J257" s="77"/>
    </row>
    <row r="258" spans="1:10" ht="13.5" thickBot="1" x14ac:dyDescent="0.25">
      <c r="F258" s="19">
        <f>E257</f>
        <v>3000</v>
      </c>
      <c r="I258" s="77"/>
      <c r="J258" s="77"/>
    </row>
    <row r="259" spans="1:10" ht="11.25" customHeight="1" thickBot="1" x14ac:dyDescent="0.25">
      <c r="G259" s="7"/>
    </row>
    <row r="260" spans="1:10" ht="13.5" thickBot="1" x14ac:dyDescent="0.25">
      <c r="A260" s="22" t="s">
        <v>202</v>
      </c>
      <c r="B260" s="23"/>
      <c r="C260" s="23"/>
      <c r="D260" s="24"/>
      <c r="E260" s="25"/>
      <c r="F260" s="19">
        <f>+SUM(F190:F259)</f>
        <v>15600</v>
      </c>
      <c r="G260" s="7"/>
    </row>
    <row r="261" spans="1:10" ht="11.25" customHeight="1" x14ac:dyDescent="0.2">
      <c r="G261" s="7"/>
    </row>
    <row r="262" spans="1:10" ht="13.5" thickBot="1" x14ac:dyDescent="0.25">
      <c r="A262" s="9" t="s">
        <v>409</v>
      </c>
      <c r="B262" s="9"/>
      <c r="C262" s="9"/>
      <c r="D262" s="32"/>
      <c r="E262" s="32"/>
      <c r="F262" s="31"/>
      <c r="G262" s="7"/>
    </row>
    <row r="263" spans="1:10" ht="13.5" thickBot="1" x14ac:dyDescent="0.25">
      <c r="A263" s="54" t="s">
        <v>63</v>
      </c>
      <c r="B263" s="55" t="s">
        <v>64</v>
      </c>
      <c r="C263" s="55" t="s">
        <v>41</v>
      </c>
      <c r="D263" s="56" t="s">
        <v>210</v>
      </c>
      <c r="E263" s="56" t="s">
        <v>65</v>
      </c>
      <c r="F263" s="57" t="s">
        <v>66</v>
      </c>
      <c r="G263" s="7"/>
    </row>
    <row r="264" spans="1:10" ht="26.25" thickBot="1" x14ac:dyDescent="0.25">
      <c r="A264" s="355" t="s">
        <v>504</v>
      </c>
      <c r="B264" s="15" t="s">
        <v>10</v>
      </c>
      <c r="C264" s="92">
        <v>1</v>
      </c>
      <c r="D264" s="79">
        <v>2000</v>
      </c>
      <c r="E264" s="16">
        <f>C264*D264</f>
        <v>2000</v>
      </c>
      <c r="F264" s="50"/>
      <c r="G264" s="7"/>
    </row>
    <row r="265" spans="1:10" ht="13.5" thickBot="1" x14ac:dyDescent="0.25">
      <c r="A265" s="9"/>
      <c r="B265" s="9"/>
      <c r="C265" s="9"/>
      <c r="D265" s="9"/>
      <c r="E265" s="32"/>
      <c r="F265" s="19">
        <f>SUM(E264:E264)</f>
        <v>2000</v>
      </c>
      <c r="G265" s="7"/>
    </row>
    <row r="266" spans="1:10" ht="11.25" customHeight="1" thickBot="1" x14ac:dyDescent="0.25">
      <c r="G266" s="7"/>
    </row>
    <row r="267" spans="1:10" ht="13.5" thickBot="1" x14ac:dyDescent="0.25">
      <c r="A267" s="22" t="s">
        <v>203</v>
      </c>
      <c r="B267" s="23"/>
      <c r="C267" s="23"/>
      <c r="D267" s="24"/>
      <c r="E267" s="25"/>
      <c r="F267" s="19">
        <f>+F265</f>
        <v>2000</v>
      </c>
      <c r="G267" s="7"/>
    </row>
    <row r="268" spans="1:10" ht="11.25" customHeight="1" x14ac:dyDescent="0.2">
      <c r="G268" s="7"/>
    </row>
    <row r="269" spans="1:10" ht="13.5" thickBot="1" x14ac:dyDescent="0.25">
      <c r="A269" s="9" t="s">
        <v>317</v>
      </c>
      <c r="B269" s="9"/>
      <c r="C269" s="9"/>
      <c r="D269" s="32"/>
      <c r="E269" s="32"/>
      <c r="F269" s="31"/>
    </row>
    <row r="270" spans="1:10" ht="13.5" thickBot="1" x14ac:dyDescent="0.25">
      <c r="A270" s="54" t="s">
        <v>63</v>
      </c>
      <c r="B270" s="55" t="s">
        <v>64</v>
      </c>
      <c r="C270" s="55" t="s">
        <v>41</v>
      </c>
      <c r="D270" s="56" t="s">
        <v>210</v>
      </c>
      <c r="E270" s="56" t="s">
        <v>65</v>
      </c>
      <c r="F270" s="57" t="s">
        <v>66</v>
      </c>
    </row>
    <row r="271" spans="1:10" ht="13.5" thickBot="1" x14ac:dyDescent="0.25">
      <c r="A271" s="279" t="s">
        <v>321</v>
      </c>
      <c r="B271" s="49" t="s">
        <v>318</v>
      </c>
      <c r="C271" s="302">
        <f>'5.Ton'!C22</f>
        <v>40.331461538461539</v>
      </c>
      <c r="D271" s="81">
        <f>E271/C271</f>
        <v>-752.34476615888718</v>
      </c>
      <c r="E271" s="16">
        <f>-25285.97*1.2</f>
        <v>-30343.164000000001</v>
      </c>
      <c r="F271" s="50"/>
    </row>
    <row r="272" spans="1:10" ht="13.5" thickBot="1" x14ac:dyDescent="0.25">
      <c r="A272" s="10"/>
      <c r="B272" s="10"/>
      <c r="C272" s="10"/>
      <c r="D272" s="114"/>
      <c r="E272" s="266">
        <v>0</v>
      </c>
      <c r="F272" s="19">
        <f>E271</f>
        <v>-30343.164000000001</v>
      </c>
    </row>
    <row r="273" spans="1:7" s="48" customFormat="1" ht="11.25" customHeight="1" thickBot="1" x14ac:dyDescent="0.25">
      <c r="A273" s="7"/>
      <c r="B273" s="7"/>
      <c r="C273" s="7"/>
      <c r="D273" s="8"/>
      <c r="E273" s="8"/>
      <c r="F273" s="8"/>
      <c r="G273" s="76"/>
    </row>
    <row r="274" spans="1:7" ht="13.5" thickBot="1" x14ac:dyDescent="0.25">
      <c r="A274" s="22" t="s">
        <v>199</v>
      </c>
      <c r="B274" s="23"/>
      <c r="C274" s="23"/>
      <c r="D274" s="24"/>
      <c r="E274" s="25"/>
      <c r="F274" s="19">
        <f>+F272</f>
        <v>-30343.164000000001</v>
      </c>
    </row>
    <row r="275" spans="1:7" ht="11.25" customHeight="1" thickBot="1" x14ac:dyDescent="0.25"/>
    <row r="276" spans="1:7" ht="17.25" customHeight="1" thickBot="1" x14ac:dyDescent="0.25">
      <c r="A276" s="22" t="s">
        <v>204</v>
      </c>
      <c r="B276" s="26"/>
      <c r="C276" s="26"/>
      <c r="D276" s="27"/>
      <c r="E276" s="28"/>
      <c r="F276" s="20">
        <f>+F149+F182+F260+F267+F274</f>
        <v>47968.573610607578</v>
      </c>
    </row>
    <row r="277" spans="1:7" ht="11.25" customHeight="1" x14ac:dyDescent="0.2"/>
    <row r="278" spans="1:7" ht="13.5" thickBot="1" x14ac:dyDescent="0.25">
      <c r="A278" s="9" t="s">
        <v>89</v>
      </c>
    </row>
    <row r="279" spans="1:7" ht="13.5" thickBot="1" x14ac:dyDescent="0.25">
      <c r="A279" s="54" t="s">
        <v>63</v>
      </c>
      <c r="B279" s="55" t="s">
        <v>64</v>
      </c>
      <c r="C279" s="55" t="s">
        <v>41</v>
      </c>
      <c r="D279" s="56" t="s">
        <v>210</v>
      </c>
      <c r="E279" s="56" t="s">
        <v>65</v>
      </c>
      <c r="F279" s="57" t="s">
        <v>66</v>
      </c>
    </row>
    <row r="280" spans="1:7" ht="13.5" thickBot="1" x14ac:dyDescent="0.25">
      <c r="A280" s="11" t="s">
        <v>37</v>
      </c>
      <c r="B280" s="12" t="s">
        <v>2</v>
      </c>
      <c r="C280" s="129">
        <f>'4.BDI '!C21*100</f>
        <v>25.580000000000002</v>
      </c>
      <c r="D280" s="13">
        <f>+F276</f>
        <v>47968.573610607578</v>
      </c>
      <c r="E280" s="13">
        <f>C280*D280/100</f>
        <v>12270.361129593419</v>
      </c>
    </row>
    <row r="281" spans="1:7" ht="13.5" thickBot="1" x14ac:dyDescent="0.25">
      <c r="F281" s="19">
        <f>+E280</f>
        <v>12270.361129593419</v>
      </c>
    </row>
    <row r="282" spans="1:7" ht="11.25" customHeight="1" thickBot="1" x14ac:dyDescent="0.25"/>
    <row r="283" spans="1:7" ht="13.5" thickBot="1" x14ac:dyDescent="0.25">
      <c r="A283" s="22" t="s">
        <v>215</v>
      </c>
      <c r="B283" s="26"/>
      <c r="C283" s="26"/>
      <c r="D283" s="27"/>
      <c r="E283" s="28"/>
      <c r="F283" s="20">
        <f>F281</f>
        <v>12270.361129593419</v>
      </c>
    </row>
    <row r="284" spans="1:7" ht="13.5" thickBot="1" x14ac:dyDescent="0.25">
      <c r="A284" s="9"/>
      <c r="B284" s="9"/>
      <c r="C284" s="9"/>
      <c r="D284" s="32"/>
      <c r="E284" s="32"/>
      <c r="F284" s="31"/>
    </row>
    <row r="285" spans="1:7" ht="18" customHeight="1" thickBot="1" x14ac:dyDescent="0.25">
      <c r="A285" s="22" t="s">
        <v>205</v>
      </c>
      <c r="B285" s="26"/>
      <c r="C285" s="26"/>
      <c r="D285" s="27"/>
      <c r="E285" s="28"/>
      <c r="F285" s="20">
        <f>F276+F283</f>
        <v>60238.934740200995</v>
      </c>
    </row>
    <row r="286" spans="1:7" ht="14.25" hidden="1" x14ac:dyDescent="0.2">
      <c r="A286" s="6"/>
      <c r="B286" s="6"/>
      <c r="C286" s="6"/>
      <c r="D286" s="33"/>
      <c r="E286" s="33"/>
    </row>
    <row r="287" spans="1:7" ht="16.149999999999999" hidden="1" customHeight="1" x14ac:dyDescent="0.2">
      <c r="A287" s="211" t="s">
        <v>198</v>
      </c>
      <c r="B287" s="212"/>
      <c r="C287" s="212"/>
      <c r="D287" s="213"/>
      <c r="E287" s="214" t="s">
        <v>27</v>
      </c>
      <c r="G287" s="8" t="s">
        <v>185</v>
      </c>
    </row>
    <row r="288" spans="1:7" hidden="1" x14ac:dyDescent="0.2"/>
    <row r="289" spans="1:7" ht="25.5" hidden="1" customHeight="1" thickBot="1" x14ac:dyDescent="0.25">
      <c r="A289" s="22" t="s">
        <v>69</v>
      </c>
      <c r="B289" s="23"/>
      <c r="C289" s="23"/>
      <c r="D289" s="24"/>
      <c r="E289" s="215" t="s">
        <v>33</v>
      </c>
      <c r="F289" s="216" t="str">
        <f>IFERROR(F285/D287,"-")</f>
        <v>-</v>
      </c>
      <c r="G289" s="8" t="s">
        <v>185</v>
      </c>
    </row>
    <row r="290" spans="1:7" ht="12.6" hidden="1" customHeight="1" x14ac:dyDescent="0.2">
      <c r="A290" s="9"/>
      <c r="B290" s="9"/>
      <c r="C290" s="9"/>
      <c r="D290" s="32"/>
      <c r="E290" s="32"/>
      <c r="F290" s="32"/>
    </row>
    <row r="291" spans="1:7" s="2" customFormat="1" ht="9.75" hidden="1" customHeight="1" x14ac:dyDescent="0.2">
      <c r="A291" s="36"/>
      <c r="B291" s="8"/>
      <c r="C291" s="8"/>
      <c r="D291" s="8"/>
      <c r="E291" s="8"/>
      <c r="F291" s="8"/>
      <c r="G291" s="4"/>
    </row>
    <row r="292" spans="1:7" s="2" customFormat="1" ht="9.75" hidden="1" customHeight="1" x14ac:dyDescent="0.2">
      <c r="A292" s="36"/>
      <c r="B292" s="8"/>
      <c r="C292" s="8"/>
      <c r="D292" s="8"/>
      <c r="E292" s="8"/>
      <c r="F292" s="8"/>
      <c r="G292" s="4"/>
    </row>
    <row r="293" spans="1:7" s="2" customFormat="1" ht="9.75" hidden="1" customHeight="1" x14ac:dyDescent="0.2">
      <c r="A293" s="36"/>
      <c r="B293" s="8"/>
      <c r="C293" s="8"/>
      <c r="D293" s="8"/>
      <c r="E293" s="8"/>
      <c r="F293" s="8"/>
      <c r="G293" s="4"/>
    </row>
    <row r="323" s="7" customFormat="1" ht="9" customHeight="1" x14ac:dyDescent="0.2"/>
  </sheetData>
  <mergeCells count="7">
    <mergeCell ref="A49:D49"/>
    <mergeCell ref="A12:F12"/>
    <mergeCell ref="A13:F13"/>
    <mergeCell ref="A15:F15"/>
    <mergeCell ref="A26:C26"/>
    <mergeCell ref="A41:E41"/>
    <mergeCell ref="A42:D42"/>
  </mergeCells>
  <hyperlinks>
    <hyperlink ref="A204" location="AbaRemun" display="3.1.2. Remuneração do Capital" xr:uid="{00000000-0004-0000-0300-000000000000}"/>
    <hyperlink ref="A188" location="AbaDeprec" display="3.1.1. Depreciação" xr:uid="{00000000-0004-0000-0300-000001000000}"/>
  </hyperlinks>
  <pageMargins left="0.9055118110236221" right="0.51181102362204722" top="0.74803149606299213" bottom="0.74803149606299213" header="0.31496062992125984" footer="0.31496062992125984"/>
  <pageSetup paperSize="9" scale="76" fitToHeight="3" orientation="portrait" r:id="rId1"/>
  <headerFooter alignWithMargins="0">
    <oddFooter>&amp;R&amp;P de &amp;N</oddFooter>
  </headerFooter>
  <rowBreaks count="2" manualBreakCount="2">
    <brk id="86" max="5" man="1"/>
    <brk id="169" max="5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60"/>
  <sheetViews>
    <sheetView topLeftCell="A14" workbookViewId="0">
      <selection activeCell="A14" sqref="A14"/>
    </sheetView>
  </sheetViews>
  <sheetFormatPr defaultColWidth="9.140625" defaultRowHeight="12.75" x14ac:dyDescent="0.2"/>
  <cols>
    <col min="1" max="1" width="13.5703125" style="235" customWidth="1"/>
    <col min="2" max="2" width="39.5703125" style="235" bestFit="1" customWidth="1"/>
    <col min="3" max="3" width="20.85546875" style="235" customWidth="1"/>
    <col min="4" max="4" width="37.28515625" style="235" customWidth="1"/>
    <col min="5" max="10" width="9.140625" style="235"/>
    <col min="11" max="11" width="11" style="235" bestFit="1" customWidth="1"/>
    <col min="12" max="16384" width="9.140625" style="235"/>
  </cols>
  <sheetData>
    <row r="1" spans="1:7" hidden="1" x14ac:dyDescent="0.2">
      <c r="A1" s="9" t="s">
        <v>183</v>
      </c>
    </row>
    <row r="2" spans="1:7" hidden="1" x14ac:dyDescent="0.2">
      <c r="A2" s="240" t="s">
        <v>217</v>
      </c>
    </row>
    <row r="3" spans="1:7" s="2" customFormat="1" ht="15.6" hidden="1" customHeight="1" x14ac:dyDescent="0.2">
      <c r="B3" s="3"/>
      <c r="C3" s="3"/>
      <c r="D3" s="3"/>
      <c r="E3" s="3"/>
      <c r="F3" s="3"/>
      <c r="G3" s="4"/>
    </row>
    <row r="4" spans="1:7" s="2" customFormat="1" ht="15.6" hidden="1" customHeight="1" x14ac:dyDescent="0.2">
      <c r="A4" s="256" t="s">
        <v>264</v>
      </c>
      <c r="B4" s="3"/>
      <c r="C4" s="3"/>
      <c r="D4" s="3"/>
      <c r="E4" s="3"/>
      <c r="F4" s="3"/>
      <c r="G4" s="4"/>
    </row>
    <row r="5" spans="1:7" s="2" customFormat="1" ht="16.5" customHeight="1" x14ac:dyDescent="0.2">
      <c r="A5" s="301" t="s">
        <v>278</v>
      </c>
      <c r="B5" s="3"/>
      <c r="C5" s="3"/>
      <c r="D5" s="4"/>
      <c r="E5" s="4"/>
      <c r="F5" s="4"/>
      <c r="G5" s="4"/>
    </row>
    <row r="6" spans="1:7" s="2" customFormat="1" ht="16.5" customHeight="1" x14ac:dyDescent="0.2">
      <c r="A6" s="301" t="s">
        <v>279</v>
      </c>
      <c r="B6" s="3"/>
      <c r="C6" s="3"/>
      <c r="D6" s="4"/>
      <c r="E6" s="4"/>
      <c r="F6" s="4"/>
      <c r="G6" s="4"/>
    </row>
    <row r="7" spans="1:7" ht="13.5" thickBot="1" x14ac:dyDescent="0.25"/>
    <row r="8" spans="1:7" ht="18" x14ac:dyDescent="0.2">
      <c r="A8" s="428" t="s">
        <v>418</v>
      </c>
      <c r="B8" s="429"/>
      <c r="C8" s="430"/>
      <c r="D8" s="136"/>
      <c r="E8" s="136"/>
      <c r="F8" s="136"/>
    </row>
    <row r="9" spans="1:7" ht="14.25" x14ac:dyDescent="0.2">
      <c r="A9" s="145" t="s">
        <v>122</v>
      </c>
      <c r="B9" s="146" t="s">
        <v>123</v>
      </c>
      <c r="C9" s="147" t="s">
        <v>124</v>
      </c>
      <c r="D9" s="148"/>
    </row>
    <row r="10" spans="1:7" ht="14.25" x14ac:dyDescent="0.2">
      <c r="A10" s="145" t="s">
        <v>125</v>
      </c>
      <c r="B10" s="146" t="s">
        <v>42</v>
      </c>
      <c r="C10" s="149">
        <v>0.2</v>
      </c>
      <c r="D10" s="148"/>
    </row>
    <row r="11" spans="1:7" ht="14.25" x14ac:dyDescent="0.2">
      <c r="A11" s="145" t="s">
        <v>126</v>
      </c>
      <c r="B11" s="146" t="s">
        <v>127</v>
      </c>
      <c r="C11" s="149">
        <v>1.4999999999999999E-2</v>
      </c>
      <c r="D11" s="148"/>
    </row>
    <row r="12" spans="1:7" ht="14.25" x14ac:dyDescent="0.2">
      <c r="A12" s="145" t="s">
        <v>128</v>
      </c>
      <c r="B12" s="146" t="s">
        <v>129</v>
      </c>
      <c r="C12" s="149">
        <v>0.01</v>
      </c>
      <c r="D12" s="148"/>
    </row>
    <row r="13" spans="1:7" ht="14.25" x14ac:dyDescent="0.2">
      <c r="A13" s="145" t="s">
        <v>130</v>
      </c>
      <c r="B13" s="146" t="s">
        <v>131</v>
      </c>
      <c r="C13" s="149">
        <v>2E-3</v>
      </c>
      <c r="D13" s="148"/>
    </row>
    <row r="14" spans="1:7" ht="14.25" x14ac:dyDescent="0.2">
      <c r="A14" s="145" t="s">
        <v>132</v>
      </c>
      <c r="B14" s="146" t="s">
        <v>133</v>
      </c>
      <c r="C14" s="149">
        <v>6.0000000000000001E-3</v>
      </c>
      <c r="D14" s="148"/>
    </row>
    <row r="15" spans="1:7" ht="14.25" x14ac:dyDescent="0.2">
      <c r="A15" s="145" t="s">
        <v>134</v>
      </c>
      <c r="B15" s="146" t="s">
        <v>135</v>
      </c>
      <c r="C15" s="149">
        <v>2.5000000000000001E-2</v>
      </c>
      <c r="D15" s="148"/>
    </row>
    <row r="16" spans="1:7" ht="14.25" x14ac:dyDescent="0.2">
      <c r="A16" s="145" t="s">
        <v>136</v>
      </c>
      <c r="B16" s="146" t="s">
        <v>137</v>
      </c>
      <c r="C16" s="149">
        <v>0.03</v>
      </c>
      <c r="D16" s="148"/>
    </row>
    <row r="17" spans="1:8" ht="14.25" x14ac:dyDescent="0.2">
      <c r="A17" s="145" t="s">
        <v>138</v>
      </c>
      <c r="B17" s="146" t="s">
        <v>43</v>
      </c>
      <c r="C17" s="149">
        <v>0.08</v>
      </c>
      <c r="D17" s="148"/>
    </row>
    <row r="18" spans="1:8" ht="15" x14ac:dyDescent="0.2">
      <c r="A18" s="145" t="s">
        <v>139</v>
      </c>
      <c r="B18" s="150" t="s">
        <v>140</v>
      </c>
      <c r="C18" s="151">
        <f>SUM(C10:C17)</f>
        <v>0.36800000000000005</v>
      </c>
      <c r="D18" s="148"/>
    </row>
    <row r="19" spans="1:8" ht="15" x14ac:dyDescent="0.2">
      <c r="A19" s="152"/>
      <c r="B19" s="153"/>
      <c r="C19" s="154"/>
      <c r="D19" s="148"/>
    </row>
    <row r="20" spans="1:8" ht="14.25" x14ac:dyDescent="0.2">
      <c r="A20" s="145" t="s">
        <v>141</v>
      </c>
      <c r="B20" s="155" t="s">
        <v>142</v>
      </c>
      <c r="C20" s="149">
        <v>6.5699999999999995E-2</v>
      </c>
      <c r="D20" s="148"/>
    </row>
    <row r="21" spans="1:8" ht="14.25" x14ac:dyDescent="0.2">
      <c r="A21" s="145" t="s">
        <v>143</v>
      </c>
      <c r="B21" s="155" t="s">
        <v>144</v>
      </c>
      <c r="C21" s="149">
        <v>8.3299999999999999E-2</v>
      </c>
      <c r="D21" s="148"/>
    </row>
    <row r="22" spans="1:8" ht="14.25" x14ac:dyDescent="0.2">
      <c r="A22" s="145" t="s">
        <v>197</v>
      </c>
      <c r="B22" s="155" t="s">
        <v>146</v>
      </c>
      <c r="C22" s="149">
        <v>5.9999999999999995E-4</v>
      </c>
      <c r="D22" s="148"/>
    </row>
    <row r="23" spans="1:8" ht="14.25" x14ac:dyDescent="0.2">
      <c r="A23" s="145" t="s">
        <v>145</v>
      </c>
      <c r="B23" s="155" t="s">
        <v>148</v>
      </c>
      <c r="C23" s="149">
        <v>8.2000000000000007E-3</v>
      </c>
      <c r="D23" s="148"/>
    </row>
    <row r="24" spans="1:8" ht="14.25" x14ac:dyDescent="0.2">
      <c r="A24" s="145" t="s">
        <v>147</v>
      </c>
      <c r="B24" s="155" t="s">
        <v>150</v>
      </c>
      <c r="C24" s="149">
        <v>3.0999999999999999E-3</v>
      </c>
      <c r="D24" s="148"/>
    </row>
    <row r="25" spans="1:8" ht="14.25" x14ac:dyDescent="0.2">
      <c r="A25" s="145" t="s">
        <v>149</v>
      </c>
      <c r="B25" s="155" t="s">
        <v>151</v>
      </c>
      <c r="C25" s="149">
        <v>1.2999999999999999E-2</v>
      </c>
      <c r="D25" s="148"/>
    </row>
    <row r="26" spans="1:8" ht="15" x14ac:dyDescent="0.2">
      <c r="A26" s="145" t="s">
        <v>152</v>
      </c>
      <c r="B26" s="150" t="s">
        <v>153</v>
      </c>
      <c r="C26" s="151">
        <f>SUM(C20:C25)</f>
        <v>0.1739</v>
      </c>
      <c r="D26" s="156"/>
    </row>
    <row r="27" spans="1:8" ht="15" x14ac:dyDescent="0.2">
      <c r="A27" s="152"/>
      <c r="B27" s="153"/>
      <c r="C27" s="154"/>
      <c r="D27" s="156"/>
    </row>
    <row r="28" spans="1:8" ht="14.25" x14ac:dyDescent="0.2">
      <c r="A28" s="145" t="s">
        <v>154</v>
      </c>
      <c r="B28" s="146" t="s">
        <v>155</v>
      </c>
      <c r="C28" s="149">
        <v>0.02</v>
      </c>
      <c r="D28" s="148"/>
      <c r="E28" s="344"/>
    </row>
    <row r="29" spans="1:8" ht="14.25" x14ac:dyDescent="0.2">
      <c r="A29" s="145" t="s">
        <v>196</v>
      </c>
      <c r="B29" s="146" t="s">
        <v>157</v>
      </c>
      <c r="C29" s="149">
        <v>4.5400000000000003E-2</v>
      </c>
      <c r="D29" s="148"/>
      <c r="H29" s="157"/>
    </row>
    <row r="30" spans="1:8" ht="14.25" x14ac:dyDescent="0.2">
      <c r="A30" s="145" t="s">
        <v>156</v>
      </c>
      <c r="B30" s="146" t="s">
        <v>159</v>
      </c>
      <c r="C30" s="149">
        <f>C28*C29</f>
        <v>9.0800000000000006E-4</v>
      </c>
      <c r="D30" s="148"/>
      <c r="E30" s="344"/>
    </row>
    <row r="31" spans="1:8" ht="14.25" x14ac:dyDescent="0.2">
      <c r="A31" s="145" t="s">
        <v>158</v>
      </c>
      <c r="B31" s="146" t="s">
        <v>161</v>
      </c>
      <c r="C31" s="149">
        <v>2.4E-2</v>
      </c>
      <c r="D31" s="148"/>
      <c r="G31" s="344"/>
    </row>
    <row r="32" spans="1:8" ht="14.25" x14ac:dyDescent="0.2">
      <c r="A32" s="145" t="s">
        <v>160</v>
      </c>
      <c r="B32" s="146" t="s">
        <v>162</v>
      </c>
      <c r="C32" s="149">
        <v>2E-3</v>
      </c>
      <c r="D32" s="148"/>
    </row>
    <row r="33" spans="1:4" ht="15" x14ac:dyDescent="0.2">
      <c r="A33" s="145" t="s">
        <v>163</v>
      </c>
      <c r="B33" s="150" t="s">
        <v>164</v>
      </c>
      <c r="C33" s="151">
        <f>SUM(C28:C32)</f>
        <v>9.2308000000000001E-2</v>
      </c>
      <c r="D33" s="156"/>
    </row>
    <row r="34" spans="1:4" ht="15" x14ac:dyDescent="0.2">
      <c r="A34" s="152"/>
      <c r="B34" s="153"/>
      <c r="C34" s="154"/>
      <c r="D34" s="156"/>
    </row>
    <row r="35" spans="1:4" ht="14.25" x14ac:dyDescent="0.2">
      <c r="A35" s="145" t="s">
        <v>165</v>
      </c>
      <c r="B35" s="146" t="s">
        <v>166</v>
      </c>
      <c r="C35" s="149">
        <f>ROUND(C18*C26,4)</f>
        <v>6.4000000000000001E-2</v>
      </c>
      <c r="D35" s="148"/>
    </row>
    <row r="36" spans="1:4" ht="28.5" x14ac:dyDescent="0.2">
      <c r="A36" s="145" t="s">
        <v>167</v>
      </c>
      <c r="B36" s="158" t="s">
        <v>260</v>
      </c>
      <c r="C36" s="149">
        <f>ROUND((C28*C17),4)</f>
        <v>1.6000000000000001E-3</v>
      </c>
      <c r="D36" s="148"/>
    </row>
    <row r="37" spans="1:4" ht="15" x14ac:dyDescent="0.2">
      <c r="A37" s="145" t="s">
        <v>168</v>
      </c>
      <c r="B37" s="150" t="s">
        <v>169</v>
      </c>
      <c r="C37" s="151">
        <f>SUM(C35:C36)</f>
        <v>6.5600000000000006E-2</v>
      </c>
      <c r="D37" s="156"/>
    </row>
    <row r="38" spans="1:4" ht="15.75" thickBot="1" x14ac:dyDescent="0.25">
      <c r="A38" s="159"/>
      <c r="B38" s="160" t="s">
        <v>170</v>
      </c>
      <c r="C38" s="161">
        <f>C37+C33+C26+C18</f>
        <v>0.69980799999999999</v>
      </c>
      <c r="D38" s="156"/>
    </row>
    <row r="39" spans="1:4" ht="15" x14ac:dyDescent="0.2">
      <c r="A39" s="148"/>
      <c r="B39" s="162"/>
      <c r="C39" s="163"/>
      <c r="D39" s="164"/>
    </row>
    <row r="40" spans="1:4" ht="14.25" x14ac:dyDescent="0.2">
      <c r="A40" s="148"/>
      <c r="B40" s="148"/>
      <c r="C40" s="165"/>
      <c r="D40" s="166"/>
    </row>
    <row r="41" spans="1:4" ht="14.25" x14ac:dyDescent="0.2">
      <c r="A41" s="148"/>
      <c r="B41" s="148"/>
      <c r="C41" s="165"/>
      <c r="D41" s="148"/>
    </row>
    <row r="42" spans="1:4" ht="14.25" x14ac:dyDescent="0.2">
      <c r="A42" s="148"/>
      <c r="B42" s="148"/>
      <c r="C42" s="165"/>
      <c r="D42" s="148"/>
    </row>
    <row r="43" spans="1:4" ht="14.25" x14ac:dyDescent="0.2">
      <c r="A43" s="148"/>
      <c r="B43" s="148"/>
      <c r="C43" s="165"/>
      <c r="D43" s="148"/>
    </row>
    <row r="44" spans="1:4" ht="15" x14ac:dyDescent="0.2">
      <c r="A44" s="148"/>
      <c r="B44" s="162"/>
      <c r="C44" s="163"/>
      <c r="D44" s="148"/>
    </row>
    <row r="45" spans="1:4" ht="15" x14ac:dyDescent="0.2">
      <c r="A45" s="156"/>
      <c r="B45" s="162"/>
      <c r="C45" s="163"/>
      <c r="D45" s="156"/>
    </row>
    <row r="46" spans="1:4" ht="16.5" x14ac:dyDescent="0.2">
      <c r="A46" s="167"/>
    </row>
    <row r="47" spans="1:4" x14ac:dyDescent="0.2">
      <c r="A47" s="168"/>
      <c r="B47" s="169"/>
      <c r="C47" s="169"/>
    </row>
    <row r="48" spans="1:4" ht="14.25" x14ac:dyDescent="0.2">
      <c r="A48" s="148"/>
      <c r="B48" s="170"/>
      <c r="C48" s="169"/>
    </row>
    <row r="49" spans="1:3" ht="14.25" x14ac:dyDescent="0.2">
      <c r="A49" s="148"/>
      <c r="B49" s="170"/>
      <c r="C49" s="148"/>
    </row>
    <row r="50" spans="1:3" ht="14.25" x14ac:dyDescent="0.2">
      <c r="A50" s="148"/>
      <c r="B50" s="165"/>
      <c r="C50" s="169"/>
    </row>
    <row r="51" spans="1:3" ht="14.25" x14ac:dyDescent="0.2">
      <c r="A51" s="148"/>
      <c r="B51" s="170"/>
      <c r="C51" s="148"/>
    </row>
    <row r="52" spans="1:3" ht="14.25" x14ac:dyDescent="0.2">
      <c r="A52" s="148"/>
      <c r="B52" s="165"/>
      <c r="C52" s="169"/>
    </row>
    <row r="53" spans="1:3" ht="14.25" x14ac:dyDescent="0.2">
      <c r="A53" s="148"/>
      <c r="B53" s="170"/>
      <c r="C53" s="148"/>
    </row>
    <row r="54" spans="1:3" ht="14.25" x14ac:dyDescent="0.2">
      <c r="A54" s="148"/>
      <c r="B54" s="165"/>
      <c r="C54" s="169"/>
    </row>
    <row r="55" spans="1:3" ht="14.25" x14ac:dyDescent="0.2">
      <c r="A55" s="148"/>
      <c r="B55" s="170"/>
      <c r="C55" s="148"/>
    </row>
    <row r="56" spans="1:3" ht="14.25" x14ac:dyDescent="0.2">
      <c r="A56" s="148"/>
      <c r="B56" s="165"/>
      <c r="C56" s="169"/>
    </row>
    <row r="57" spans="1:3" ht="16.5" x14ac:dyDescent="0.2">
      <c r="A57" s="167"/>
    </row>
    <row r="60" spans="1:3" x14ac:dyDescent="0.2">
      <c r="A60" s="171"/>
    </row>
  </sheetData>
  <mergeCells count="1">
    <mergeCell ref="A8:C8"/>
  </mergeCells>
  <pageMargins left="0.90551181102362199" right="0.5118110236220472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5"/>
  <sheetViews>
    <sheetView workbookViewId="0">
      <selection activeCell="A14" sqref="A14"/>
    </sheetView>
  </sheetViews>
  <sheetFormatPr defaultRowHeight="12.75" x14ac:dyDescent="0.2"/>
  <cols>
    <col min="1" max="1" width="41.85546875" bestFit="1" customWidth="1"/>
    <col min="2" max="2" width="5.5703125" bestFit="1" customWidth="1"/>
    <col min="3" max="3" width="10.140625" bestFit="1" customWidth="1"/>
    <col min="4" max="4" width="9.7109375" bestFit="1" customWidth="1"/>
    <col min="5" max="5" width="8" style="113" bestFit="1" customWidth="1"/>
    <col min="6" max="6" width="9.7109375" bestFit="1" customWidth="1"/>
  </cols>
  <sheetData>
    <row r="1" spans="1:8" s="133" customFormat="1" ht="14.25" x14ac:dyDescent="0.2">
      <c r="A1" s="9" t="s">
        <v>183</v>
      </c>
      <c r="B1" s="6"/>
      <c r="C1" s="6"/>
      <c r="E1" s="134"/>
    </row>
    <row r="2" spans="1:8" s="133" customFormat="1" ht="14.25" x14ac:dyDescent="0.2">
      <c r="A2" s="128" t="s">
        <v>218</v>
      </c>
      <c r="B2" s="6"/>
      <c r="C2" s="6"/>
      <c r="E2" s="134"/>
    </row>
    <row r="3" spans="1:8" s="133" customFormat="1" ht="14.25" x14ac:dyDescent="0.2">
      <c r="A3" s="7" t="s">
        <v>184</v>
      </c>
      <c r="B3" s="6"/>
      <c r="C3" s="6"/>
      <c r="E3" s="134"/>
    </row>
    <row r="4" spans="1:8" s="133" customFormat="1" ht="14.25" x14ac:dyDescent="0.2">
      <c r="A4" s="7"/>
      <c r="B4" s="6"/>
      <c r="C4" s="6"/>
      <c r="E4" s="134"/>
    </row>
    <row r="5" spans="1:8" s="2" customFormat="1" ht="15.6" hidden="1" customHeight="1" x14ac:dyDescent="0.2">
      <c r="A5" s="256" t="s">
        <v>264</v>
      </c>
      <c r="B5" s="3"/>
      <c r="C5" s="3"/>
      <c r="D5" s="3"/>
      <c r="E5" s="3"/>
      <c r="F5" s="3"/>
      <c r="G5" s="4"/>
    </row>
    <row r="6" spans="1:8" s="2" customFormat="1" ht="16.5" customHeight="1" x14ac:dyDescent="0.2">
      <c r="A6" s="301" t="s">
        <v>276</v>
      </c>
      <c r="B6" s="3"/>
      <c r="C6" s="3"/>
      <c r="D6" s="4"/>
      <c r="E6" s="4"/>
      <c r="F6" s="4"/>
      <c r="G6" s="4"/>
    </row>
    <row r="7" spans="1:8" s="2" customFormat="1" ht="16.5" customHeight="1" x14ac:dyDescent="0.2">
      <c r="A7" s="301" t="s">
        <v>277</v>
      </c>
      <c r="B7" s="3"/>
      <c r="C7" s="3"/>
      <c r="D7" s="4"/>
      <c r="E7" s="4"/>
      <c r="F7" s="4"/>
      <c r="G7" s="4"/>
    </row>
    <row r="8" spans="1:8" s="133" customFormat="1" ht="15" thickBot="1" x14ac:dyDescent="0.25">
      <c r="B8" s="6"/>
      <c r="C8" s="6"/>
      <c r="E8" s="134"/>
    </row>
    <row r="9" spans="1:8" ht="15.75" x14ac:dyDescent="0.2">
      <c r="A9" s="431" t="s">
        <v>206</v>
      </c>
      <c r="B9" s="432"/>
      <c r="C9" s="432"/>
      <c r="D9" s="432"/>
      <c r="E9" s="432"/>
      <c r="F9" s="433"/>
    </row>
    <row r="10" spans="1:8" ht="16.5" thickBot="1" x14ac:dyDescent="0.25">
      <c r="A10" s="222"/>
      <c r="B10" s="223"/>
      <c r="C10" s="223"/>
      <c r="D10" s="223"/>
      <c r="E10" s="223"/>
      <c r="F10" s="224"/>
    </row>
    <row r="11" spans="1:8" ht="15" x14ac:dyDescent="0.25">
      <c r="A11" s="175"/>
      <c r="B11" s="6"/>
      <c r="C11" s="6"/>
      <c r="D11" s="434" t="s">
        <v>216</v>
      </c>
      <c r="E11" s="435"/>
      <c r="F11" s="436"/>
      <c r="G11" s="133"/>
      <c r="H11" s="133"/>
    </row>
    <row r="12" spans="1:8" ht="15" thickBot="1" x14ac:dyDescent="0.25">
      <c r="A12" s="174"/>
      <c r="B12" s="133"/>
      <c r="C12" s="133"/>
      <c r="D12" s="176" t="s">
        <v>171</v>
      </c>
      <c r="E12" s="177" t="s">
        <v>172</v>
      </c>
      <c r="F12" s="178" t="s">
        <v>173</v>
      </c>
      <c r="G12" s="133"/>
      <c r="H12" s="133"/>
    </row>
    <row r="13" spans="1:8" ht="14.25" x14ac:dyDescent="0.2">
      <c r="A13" s="179" t="s">
        <v>75</v>
      </c>
      <c r="B13" s="180" t="s">
        <v>76</v>
      </c>
      <c r="C13" s="181">
        <v>0.05</v>
      </c>
      <c r="D13" s="200">
        <v>2.9700000000000001E-2</v>
      </c>
      <c r="E13" s="201">
        <v>5.0799999999999998E-2</v>
      </c>
      <c r="F13" s="202">
        <v>6.2700000000000006E-2</v>
      </c>
      <c r="G13" s="133"/>
      <c r="H13" s="133"/>
    </row>
    <row r="14" spans="1:8" ht="14.25" x14ac:dyDescent="0.2">
      <c r="A14" s="183" t="s">
        <v>77</v>
      </c>
      <c r="B14" s="311" t="s">
        <v>78</v>
      </c>
      <c r="C14" s="184">
        <v>1.3299999999999999E-2</v>
      </c>
      <c r="D14" s="200">
        <f>0.3%+0.56%</f>
        <v>8.6E-3</v>
      </c>
      <c r="E14" s="201">
        <f>0.48%+0.85%</f>
        <v>1.3299999999999999E-2</v>
      </c>
      <c r="F14" s="202">
        <f>0.82%+0.89%</f>
        <v>1.7099999999999997E-2</v>
      </c>
      <c r="G14" s="133"/>
      <c r="H14" s="133"/>
    </row>
    <row r="15" spans="1:8" ht="14.25" x14ac:dyDescent="0.2">
      <c r="A15" s="183" t="s">
        <v>79</v>
      </c>
      <c r="B15" s="311" t="s">
        <v>80</v>
      </c>
      <c r="C15" s="184">
        <v>0.1</v>
      </c>
      <c r="D15" s="200">
        <v>7.7799999999999994E-2</v>
      </c>
      <c r="E15" s="201">
        <v>0.1085</v>
      </c>
      <c r="F15" s="202">
        <v>0.13550000000000001</v>
      </c>
      <c r="G15" s="133"/>
      <c r="H15" s="133"/>
    </row>
    <row r="16" spans="1:8" ht="14.25" x14ac:dyDescent="0.2">
      <c r="A16" s="183" t="s">
        <v>81</v>
      </c>
      <c r="B16" s="311" t="s">
        <v>82</v>
      </c>
      <c r="C16" s="185">
        <f>(1+E16)^(E17/252)-1</f>
        <v>2.2511149891657478E-3</v>
      </c>
      <c r="D16" s="200" t="s">
        <v>252</v>
      </c>
      <c r="E16" s="186">
        <v>0.12</v>
      </c>
      <c r="F16" s="182"/>
      <c r="G16" s="133"/>
      <c r="H16" s="133"/>
    </row>
    <row r="17" spans="1:8" ht="14.25" x14ac:dyDescent="0.2">
      <c r="A17" s="183" t="s">
        <v>83</v>
      </c>
      <c r="B17" s="437" t="s">
        <v>84</v>
      </c>
      <c r="C17" s="184">
        <v>0.03</v>
      </c>
      <c r="D17" s="254" t="s">
        <v>174</v>
      </c>
      <c r="E17" s="187">
        <v>5</v>
      </c>
      <c r="F17" s="188"/>
      <c r="G17" s="133"/>
      <c r="H17" s="133"/>
    </row>
    <row r="18" spans="1:8" ht="15" thickBot="1" x14ac:dyDescent="0.25">
      <c r="A18" s="189" t="s">
        <v>85</v>
      </c>
      <c r="B18" s="438"/>
      <c r="C18" s="190">
        <v>3.6499999999999998E-2</v>
      </c>
      <c r="D18" s="172"/>
      <c r="E18" s="191"/>
      <c r="F18" s="188"/>
      <c r="G18" s="133"/>
      <c r="H18" s="133"/>
    </row>
    <row r="19" spans="1:8" ht="14.25" x14ac:dyDescent="0.2">
      <c r="A19" s="192" t="s">
        <v>86</v>
      </c>
      <c r="B19" s="193"/>
      <c r="C19" s="194"/>
      <c r="D19" s="172"/>
      <c r="E19" s="191"/>
      <c r="F19" s="188"/>
      <c r="G19" s="133"/>
      <c r="H19" s="133"/>
    </row>
    <row r="20" spans="1:8" ht="15" thickBot="1" x14ac:dyDescent="0.25">
      <c r="A20" s="195" t="s">
        <v>87</v>
      </c>
      <c r="B20" s="196"/>
      <c r="C20" s="197"/>
      <c r="D20" s="172"/>
      <c r="E20" s="191"/>
      <c r="F20" s="188"/>
      <c r="G20" s="133"/>
      <c r="H20" s="133"/>
    </row>
    <row r="21" spans="1:8" ht="15.75" thickBot="1" x14ac:dyDescent="0.25">
      <c r="A21" s="198" t="s">
        <v>88</v>
      </c>
      <c r="B21" s="199"/>
      <c r="C21" s="354">
        <f>ROUND((((1+C13+C14)*(1+C15)*(1+C16))/(1-(C17+C18))-1),4)</f>
        <v>0.25580000000000003</v>
      </c>
      <c r="D21" s="203">
        <v>0.21429999999999999</v>
      </c>
      <c r="E21" s="204">
        <v>0.2717</v>
      </c>
      <c r="F21" s="205">
        <v>0.3362</v>
      </c>
      <c r="G21" s="133"/>
      <c r="H21" s="133"/>
    </row>
    <row r="22" spans="1:8" ht="14.25" x14ac:dyDescent="0.2">
      <c r="A22" s="133"/>
      <c r="B22" s="133"/>
      <c r="C22" s="133"/>
      <c r="D22" s="133"/>
      <c r="E22" s="134"/>
      <c r="F22" s="133"/>
      <c r="G22" s="133"/>
      <c r="H22" s="133"/>
    </row>
    <row r="23" spans="1:8" ht="14.25" x14ac:dyDescent="0.2">
      <c r="A23" s="133"/>
      <c r="B23" s="133"/>
      <c r="C23" s="133"/>
      <c r="D23" s="133"/>
      <c r="E23" s="134"/>
      <c r="F23" s="133"/>
      <c r="G23" s="133"/>
      <c r="H23" s="133"/>
    </row>
    <row r="24" spans="1:8" ht="14.25" x14ac:dyDescent="0.2">
      <c r="A24" s="133"/>
      <c r="B24" s="133"/>
      <c r="C24" s="133"/>
      <c r="D24" s="133"/>
      <c r="E24" s="134"/>
      <c r="F24" s="133"/>
      <c r="G24" s="133"/>
      <c r="H24" s="133"/>
    </row>
    <row r="25" spans="1:8" ht="14.25" x14ac:dyDescent="0.2">
      <c r="A25" s="133"/>
      <c r="B25" s="133"/>
      <c r="C25" s="133"/>
      <c r="D25" s="133"/>
      <c r="E25" s="134"/>
      <c r="F25" s="133"/>
      <c r="G25" s="133"/>
      <c r="H25" s="133"/>
    </row>
  </sheetData>
  <mergeCells count="3">
    <mergeCell ref="A9:F9"/>
    <mergeCell ref="D11:F11"/>
    <mergeCell ref="B17:B18"/>
  </mergeCells>
  <pageMargins left="0.90551181102362199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4"/>
  <sheetViews>
    <sheetView topLeftCell="A2" workbookViewId="0">
      <selection activeCell="A14" sqref="A14"/>
    </sheetView>
  </sheetViews>
  <sheetFormatPr defaultColWidth="8.85546875" defaultRowHeight="15" x14ac:dyDescent="0.25"/>
  <cols>
    <col min="1" max="1" width="13.7109375" style="260" customWidth="1"/>
    <col min="2" max="2" width="14.7109375" style="260" customWidth="1"/>
    <col min="3" max="3" width="9.85546875" style="260" customWidth="1"/>
    <col min="4" max="4" width="12.85546875" style="260" bestFit="1" customWidth="1"/>
    <col min="5" max="6" width="11.42578125" style="260" hidden="1" customWidth="1"/>
    <col min="7" max="7" width="11.42578125" style="260" bestFit="1" customWidth="1"/>
    <col min="8" max="8" width="8.85546875" style="260"/>
    <col min="9" max="10" width="11.28515625" style="260" bestFit="1" customWidth="1"/>
    <col min="11" max="16384" width="8.85546875" style="260"/>
  </cols>
  <sheetData>
    <row r="1" spans="1:5" ht="15.75" x14ac:dyDescent="0.25">
      <c r="A1" s="303" t="s">
        <v>281</v>
      </c>
    </row>
    <row r="2" spans="1:5" ht="15.75" x14ac:dyDescent="0.25">
      <c r="A2" s="303" t="s">
        <v>282</v>
      </c>
    </row>
    <row r="3" spans="1:5" ht="15.75" x14ac:dyDescent="0.25">
      <c r="A3" s="303" t="s">
        <v>443</v>
      </c>
    </row>
    <row r="4" spans="1:5" x14ac:dyDescent="0.25">
      <c r="A4" s="259"/>
    </row>
    <row r="5" spans="1:5" ht="45" x14ac:dyDescent="0.25">
      <c r="A5" s="367" t="s">
        <v>436</v>
      </c>
      <c r="B5" s="367" t="s">
        <v>437</v>
      </c>
      <c r="C5" s="367" t="s">
        <v>438</v>
      </c>
      <c r="D5" s="367" t="s">
        <v>439</v>
      </c>
      <c r="E5" s="262"/>
    </row>
    <row r="6" spans="1:5" x14ac:dyDescent="0.25">
      <c r="A6" s="360">
        <v>45200</v>
      </c>
      <c r="B6" s="364">
        <v>211690</v>
      </c>
      <c r="C6" s="364">
        <v>40403</v>
      </c>
      <c r="D6" s="364">
        <v>252093</v>
      </c>
    </row>
    <row r="7" spans="1:5" x14ac:dyDescent="0.25">
      <c r="A7" s="360">
        <v>45231</v>
      </c>
      <c r="B7" s="364">
        <v>240200</v>
      </c>
      <c r="C7" s="364">
        <v>41419</v>
      </c>
      <c r="D7" s="364">
        <v>281619</v>
      </c>
      <c r="E7" s="263"/>
    </row>
    <row r="8" spans="1:5" x14ac:dyDescent="0.25">
      <c r="A8" s="360">
        <v>45261</v>
      </c>
      <c r="B8" s="364">
        <v>214050</v>
      </c>
      <c r="C8" s="364">
        <v>42179</v>
      </c>
      <c r="D8" s="364">
        <v>256229</v>
      </c>
    </row>
    <row r="9" spans="1:5" x14ac:dyDescent="0.25">
      <c r="A9" s="360">
        <v>45292</v>
      </c>
      <c r="B9" s="364">
        <v>222030</v>
      </c>
      <c r="C9" s="364">
        <v>42407</v>
      </c>
      <c r="D9" s="364">
        <v>264437</v>
      </c>
    </row>
    <row r="10" spans="1:5" x14ac:dyDescent="0.25">
      <c r="A10" s="360">
        <v>45323</v>
      </c>
      <c r="B10" s="364">
        <v>198530</v>
      </c>
      <c r="C10" s="364">
        <v>40642</v>
      </c>
      <c r="D10" s="364">
        <v>239172</v>
      </c>
    </row>
    <row r="11" spans="1:5" x14ac:dyDescent="0.25">
      <c r="A11" s="360">
        <v>45352</v>
      </c>
      <c r="B11" s="364">
        <v>198090</v>
      </c>
      <c r="C11" s="364">
        <v>36796</v>
      </c>
      <c r="D11" s="364">
        <v>234886</v>
      </c>
    </row>
    <row r="12" spans="1:5" x14ac:dyDescent="0.25">
      <c r="A12" s="360">
        <v>45383</v>
      </c>
      <c r="B12" s="364">
        <v>222450</v>
      </c>
      <c r="C12" s="364">
        <v>39081</v>
      </c>
      <c r="D12" s="364">
        <v>261531</v>
      </c>
    </row>
    <row r="13" spans="1:5" x14ac:dyDescent="0.25">
      <c r="A13" s="360">
        <v>45413</v>
      </c>
      <c r="B13" s="364">
        <v>240650</v>
      </c>
      <c r="C13" s="364">
        <v>39974</v>
      </c>
      <c r="D13" s="364">
        <v>280624</v>
      </c>
    </row>
    <row r="14" spans="1:5" x14ac:dyDescent="0.25">
      <c r="A14" s="360">
        <v>45444</v>
      </c>
      <c r="B14" s="364">
        <v>255090</v>
      </c>
      <c r="C14" s="364">
        <v>36893</v>
      </c>
      <c r="D14" s="364">
        <v>291983</v>
      </c>
    </row>
    <row r="15" spans="1:5" x14ac:dyDescent="0.25">
      <c r="A15" s="360">
        <v>45474</v>
      </c>
      <c r="B15" s="364">
        <v>224640</v>
      </c>
      <c r="C15" s="364">
        <v>41407</v>
      </c>
      <c r="D15" s="364">
        <v>266047</v>
      </c>
    </row>
    <row r="16" spans="1:5" x14ac:dyDescent="0.25">
      <c r="A16" s="360">
        <v>45505</v>
      </c>
      <c r="B16" s="364">
        <v>229770</v>
      </c>
      <c r="C16" s="364">
        <v>43526</v>
      </c>
      <c r="D16" s="364">
        <v>273296</v>
      </c>
    </row>
    <row r="17" spans="1:4" x14ac:dyDescent="0.25">
      <c r="A17" s="360">
        <v>45536</v>
      </c>
      <c r="B17" s="364">
        <v>224740</v>
      </c>
      <c r="C17" s="364">
        <v>37221</v>
      </c>
      <c r="D17" s="364">
        <v>261961</v>
      </c>
    </row>
    <row r="18" spans="1:4" x14ac:dyDescent="0.25">
      <c r="A18" s="360">
        <v>45566</v>
      </c>
      <c r="B18" s="364">
        <v>243510</v>
      </c>
      <c r="C18" s="364">
        <v>42361</v>
      </c>
      <c r="D18" s="364">
        <v>285871</v>
      </c>
    </row>
    <row r="19" spans="1:4" x14ac:dyDescent="0.25">
      <c r="A19" s="261"/>
      <c r="B19" s="365"/>
      <c r="C19" s="365"/>
      <c r="D19" s="365"/>
    </row>
    <row r="20" spans="1:4" x14ac:dyDescent="0.25">
      <c r="A20" s="361" t="s">
        <v>440</v>
      </c>
      <c r="B20" s="366">
        <f>SUM(B6:B19)</f>
        <v>2925440</v>
      </c>
      <c r="C20" s="365">
        <f>SUM(C6:C19)</f>
        <v>524309</v>
      </c>
      <c r="D20" s="365">
        <f>SUM(D6:D19)</f>
        <v>3449749</v>
      </c>
    </row>
    <row r="21" spans="1:4" x14ac:dyDescent="0.25">
      <c r="A21" s="361" t="s">
        <v>441</v>
      </c>
      <c r="B21" s="261">
        <v>13</v>
      </c>
      <c r="C21" s="261">
        <v>13</v>
      </c>
      <c r="D21" s="261">
        <v>13</v>
      </c>
    </row>
    <row r="22" spans="1:4" ht="30" x14ac:dyDescent="0.25">
      <c r="A22" s="362" t="s">
        <v>442</v>
      </c>
      <c r="B22" s="363">
        <f>B20/1000/B21</f>
        <v>225.03384615384616</v>
      </c>
      <c r="C22" s="363">
        <f t="shared" ref="C22:D22" si="0">C20/1000/C21</f>
        <v>40.331461538461539</v>
      </c>
      <c r="D22" s="363">
        <f t="shared" si="0"/>
        <v>265.36530769230768</v>
      </c>
    </row>
    <row r="24" spans="1:4" x14ac:dyDescent="0.25">
      <c r="D24" s="262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47"/>
  <sheetViews>
    <sheetView workbookViewId="0">
      <selection activeCell="A14" sqref="A14"/>
    </sheetView>
  </sheetViews>
  <sheetFormatPr defaultColWidth="8.85546875" defaultRowHeight="15" x14ac:dyDescent="0.25"/>
  <cols>
    <col min="1" max="1" width="8.85546875" style="268"/>
    <col min="2" max="2" width="17.5703125" style="268" customWidth="1"/>
    <col min="3" max="3" width="16.7109375" style="268" customWidth="1"/>
    <col min="4" max="5" width="8.85546875" style="268"/>
    <col min="6" max="6" width="13.28515625" style="268" customWidth="1"/>
    <col min="7" max="16384" width="8.85546875" style="268"/>
  </cols>
  <sheetData>
    <row r="1" spans="1:12" ht="15.75" x14ac:dyDescent="0.25">
      <c r="A1" s="303" t="s">
        <v>281</v>
      </c>
    </row>
    <row r="2" spans="1:12" x14ac:dyDescent="0.25">
      <c r="A2" s="267" t="s">
        <v>302</v>
      </c>
    </row>
    <row r="3" spans="1:12" x14ac:dyDescent="0.25">
      <c r="A3" s="267" t="s">
        <v>283</v>
      </c>
    </row>
    <row r="4" spans="1:12" x14ac:dyDescent="0.25">
      <c r="A4" s="269" t="s">
        <v>284</v>
      </c>
      <c r="B4" s="269" t="s">
        <v>285</v>
      </c>
      <c r="C4" s="269" t="s">
        <v>286</v>
      </c>
      <c r="D4" s="269" t="s">
        <v>287</v>
      </c>
      <c r="E4" s="269" t="s">
        <v>288</v>
      </c>
      <c r="F4" s="269" t="s">
        <v>289</v>
      </c>
    </row>
    <row r="5" spans="1:12" x14ac:dyDescent="0.25">
      <c r="A5" s="270">
        <v>9</v>
      </c>
      <c r="B5" s="269" t="s">
        <v>446</v>
      </c>
      <c r="C5" s="269" t="s">
        <v>445</v>
      </c>
      <c r="D5" s="271">
        <v>0.25</v>
      </c>
      <c r="E5" s="271">
        <v>0.625</v>
      </c>
      <c r="F5" s="271">
        <v>0.33333333333333331</v>
      </c>
      <c r="G5" s="306"/>
      <c r="J5" s="341"/>
    </row>
    <row r="6" spans="1:12" x14ac:dyDescent="0.25">
      <c r="A6" s="270">
        <v>9</v>
      </c>
      <c r="B6" s="269" t="s">
        <v>446</v>
      </c>
      <c r="C6" s="269" t="s">
        <v>447</v>
      </c>
      <c r="D6" s="271">
        <v>0.25</v>
      </c>
      <c r="E6" s="271">
        <v>0.41666666666666669</v>
      </c>
      <c r="F6" s="271">
        <v>0.16666666666666666</v>
      </c>
      <c r="G6" s="306"/>
      <c r="J6" s="341"/>
    </row>
    <row r="7" spans="1:12" x14ac:dyDescent="0.25">
      <c r="H7" s="278"/>
      <c r="I7" s="278"/>
      <c r="L7" s="278"/>
    </row>
    <row r="8" spans="1:12" x14ac:dyDescent="0.25">
      <c r="A8" s="267" t="s">
        <v>303</v>
      </c>
    </row>
    <row r="9" spans="1:12" x14ac:dyDescent="0.25">
      <c r="A9" s="272" t="s">
        <v>290</v>
      </c>
      <c r="B9" s="273"/>
      <c r="C9" s="273"/>
      <c r="D9" s="273"/>
      <c r="E9" s="273"/>
      <c r="F9" s="400">
        <v>7.3333332999999996</v>
      </c>
    </row>
    <row r="10" spans="1:12" x14ac:dyDescent="0.25">
      <c r="A10" s="272" t="s">
        <v>291</v>
      </c>
      <c r="B10" s="273"/>
      <c r="C10" s="273"/>
      <c r="D10" s="273"/>
      <c r="E10" s="273"/>
      <c r="F10" s="274">
        <v>6</v>
      </c>
    </row>
    <row r="11" spans="1:12" x14ac:dyDescent="0.25">
      <c r="A11" s="272" t="s">
        <v>292</v>
      </c>
      <c r="B11" s="273"/>
      <c r="C11" s="273"/>
      <c r="D11" s="273"/>
      <c r="E11" s="273"/>
      <c r="F11" s="280">
        <f>F9*F10</f>
        <v>43.999999799999998</v>
      </c>
    </row>
    <row r="12" spans="1:12" x14ac:dyDescent="0.25">
      <c r="A12" s="272" t="s">
        <v>293</v>
      </c>
      <c r="B12" s="273"/>
      <c r="C12" s="273"/>
      <c r="D12" s="273"/>
      <c r="E12" s="273"/>
      <c r="F12" s="274">
        <v>6</v>
      </c>
    </row>
    <row r="13" spans="1:12" x14ac:dyDescent="0.25">
      <c r="A13" s="272" t="s">
        <v>294</v>
      </c>
      <c r="B13" s="273"/>
      <c r="C13" s="273"/>
      <c r="D13" s="273"/>
      <c r="E13" s="273"/>
      <c r="F13" s="274">
        <v>7</v>
      </c>
    </row>
    <row r="14" spans="1:12" x14ac:dyDescent="0.25">
      <c r="A14" s="272" t="s">
        <v>295</v>
      </c>
      <c r="B14" s="273"/>
      <c r="C14" s="273"/>
      <c r="D14" s="273"/>
      <c r="E14" s="273"/>
      <c r="F14" s="280">
        <f>F11/F12</f>
        <v>7.3333332999999996</v>
      </c>
    </row>
    <row r="15" spans="1:12" x14ac:dyDescent="0.25">
      <c r="A15" s="272" t="s">
        <v>296</v>
      </c>
      <c r="B15" s="273"/>
      <c r="C15" s="273"/>
      <c r="D15" s="273"/>
      <c r="E15" s="273"/>
      <c r="F15" s="274">
        <v>30</v>
      </c>
    </row>
    <row r="16" spans="1:12" x14ac:dyDescent="0.25">
      <c r="A16" s="275" t="s">
        <v>297</v>
      </c>
      <c r="B16" s="276"/>
      <c r="C16" s="276"/>
      <c r="D16" s="276"/>
      <c r="E16" s="276"/>
      <c r="F16" s="343">
        <f>F14*F15</f>
        <v>219.999999</v>
      </c>
    </row>
    <row r="17" spans="1:6" x14ac:dyDescent="0.25">
      <c r="A17" s="275" t="s">
        <v>300</v>
      </c>
      <c r="B17" s="276"/>
      <c r="C17" s="276"/>
      <c r="D17" s="276"/>
      <c r="E17" s="276"/>
      <c r="F17" s="269">
        <v>220</v>
      </c>
    </row>
    <row r="18" spans="1:6" x14ac:dyDescent="0.25">
      <c r="A18" s="275" t="s">
        <v>301</v>
      </c>
      <c r="B18" s="276"/>
      <c r="C18" s="276"/>
      <c r="D18" s="276"/>
      <c r="E18" s="276"/>
      <c r="F18" s="277">
        <f>F16/F17</f>
        <v>0.99999999545454543</v>
      </c>
    </row>
    <row r="20" spans="1:6" x14ac:dyDescent="0.25">
      <c r="A20" s="267" t="s">
        <v>298</v>
      </c>
    </row>
    <row r="21" spans="1:6" x14ac:dyDescent="0.25">
      <c r="A21" s="272" t="s">
        <v>299</v>
      </c>
      <c r="B21" s="273"/>
      <c r="C21" s="273"/>
      <c r="D21" s="273"/>
      <c r="E21" s="273"/>
      <c r="F21" s="274">
        <v>7.3334000000000001</v>
      </c>
    </row>
    <row r="22" spans="1:6" x14ac:dyDescent="0.25">
      <c r="A22" s="272" t="s">
        <v>291</v>
      </c>
      <c r="B22" s="273"/>
      <c r="C22" s="273"/>
      <c r="D22" s="273"/>
      <c r="E22" s="273"/>
      <c r="F22" s="274">
        <v>6</v>
      </c>
    </row>
    <row r="23" spans="1:6" x14ac:dyDescent="0.25">
      <c r="A23" s="272" t="s">
        <v>292</v>
      </c>
      <c r="B23" s="273"/>
      <c r="C23" s="273"/>
      <c r="D23" s="273"/>
      <c r="E23" s="273"/>
      <c r="F23" s="342">
        <f>F21*F22</f>
        <v>44.000399999999999</v>
      </c>
    </row>
    <row r="24" spans="1:6" x14ac:dyDescent="0.25">
      <c r="A24" s="272" t="s">
        <v>293</v>
      </c>
      <c r="B24" s="273"/>
      <c r="C24" s="273"/>
      <c r="D24" s="273"/>
      <c r="E24" s="273"/>
      <c r="F24" s="274">
        <v>6</v>
      </c>
    </row>
    <row r="25" spans="1:6" x14ac:dyDescent="0.25">
      <c r="A25" s="272" t="s">
        <v>294</v>
      </c>
      <c r="B25" s="273"/>
      <c r="C25" s="273"/>
      <c r="D25" s="273"/>
      <c r="E25" s="273"/>
      <c r="F25" s="274">
        <v>7</v>
      </c>
    </row>
    <row r="26" spans="1:6" x14ac:dyDescent="0.25">
      <c r="A26" s="272" t="s">
        <v>295</v>
      </c>
      <c r="B26" s="273"/>
      <c r="C26" s="273"/>
      <c r="D26" s="273"/>
      <c r="E26" s="273"/>
      <c r="F26" s="274">
        <f>F23/F24</f>
        <v>7.3334000000000001</v>
      </c>
    </row>
    <row r="27" spans="1:6" x14ac:dyDescent="0.25">
      <c r="A27" s="272" t="s">
        <v>296</v>
      </c>
      <c r="B27" s="273"/>
      <c r="C27" s="273"/>
      <c r="D27" s="273"/>
      <c r="E27" s="273"/>
      <c r="F27" s="274">
        <v>30</v>
      </c>
    </row>
    <row r="28" spans="1:6" x14ac:dyDescent="0.25">
      <c r="A28" s="275" t="s">
        <v>297</v>
      </c>
      <c r="B28" s="276"/>
      <c r="C28" s="276"/>
      <c r="D28" s="276"/>
      <c r="E28" s="276"/>
      <c r="F28" s="299">
        <f>F26*F27</f>
        <v>220.00200000000001</v>
      </c>
    </row>
    <row r="29" spans="1:6" x14ac:dyDescent="0.25">
      <c r="A29" s="275" t="s">
        <v>300</v>
      </c>
      <c r="B29" s="276"/>
      <c r="C29" s="276"/>
      <c r="D29" s="276"/>
      <c r="E29" s="276"/>
      <c r="F29" s="269">
        <v>220</v>
      </c>
    </row>
    <row r="30" spans="1:6" x14ac:dyDescent="0.25">
      <c r="A30" s="275" t="s">
        <v>301</v>
      </c>
      <c r="B30" s="276"/>
      <c r="C30" s="276"/>
      <c r="D30" s="276"/>
      <c r="E30" s="276"/>
      <c r="F30" s="277">
        <f>F28/F29</f>
        <v>1.0000090909090908</v>
      </c>
    </row>
    <row r="32" spans="1:6" x14ac:dyDescent="0.25">
      <c r="A32" s="267" t="s">
        <v>311</v>
      </c>
    </row>
    <row r="33" spans="1:8" x14ac:dyDescent="0.25">
      <c r="A33" s="267" t="s">
        <v>448</v>
      </c>
    </row>
    <row r="34" spans="1:8" x14ac:dyDescent="0.25">
      <c r="A34" s="269" t="s">
        <v>284</v>
      </c>
      <c r="B34" s="269" t="s">
        <v>285</v>
      </c>
      <c r="C34" s="269" t="s">
        <v>286</v>
      </c>
      <c r="D34" s="269" t="s">
        <v>287</v>
      </c>
      <c r="E34" s="269" t="s">
        <v>288</v>
      </c>
      <c r="F34" s="269" t="s">
        <v>289</v>
      </c>
    </row>
    <row r="35" spans="1:8" x14ac:dyDescent="0.25">
      <c r="A35" s="270">
        <v>11</v>
      </c>
      <c r="B35" s="269" t="s">
        <v>450</v>
      </c>
      <c r="C35" s="269" t="s">
        <v>449</v>
      </c>
      <c r="D35" s="271">
        <v>0.29166666666666669</v>
      </c>
      <c r="E35" s="271">
        <v>0.70000000000000007</v>
      </c>
      <c r="F35" s="271">
        <v>0.3666666666666667</v>
      </c>
      <c r="G35" s="306"/>
      <c r="H35" s="306"/>
    </row>
    <row r="37" spans="1:8" x14ac:dyDescent="0.25">
      <c r="A37" s="267" t="s">
        <v>508</v>
      </c>
    </row>
    <row r="38" spans="1:8" x14ac:dyDescent="0.25">
      <c r="A38" s="399" t="s">
        <v>507</v>
      </c>
      <c r="B38" s="273"/>
      <c r="C38" s="273"/>
      <c r="D38" s="273"/>
      <c r="E38" s="273"/>
      <c r="F38" s="274">
        <v>8.8000000000000007</v>
      </c>
    </row>
    <row r="39" spans="1:8" x14ac:dyDescent="0.25">
      <c r="A39" s="272" t="s">
        <v>291</v>
      </c>
      <c r="B39" s="273"/>
      <c r="C39" s="273"/>
      <c r="D39" s="273"/>
      <c r="E39" s="273"/>
      <c r="F39" s="274">
        <v>5</v>
      </c>
    </row>
    <row r="40" spans="1:8" x14ac:dyDescent="0.25">
      <c r="A40" s="272" t="s">
        <v>292</v>
      </c>
      <c r="B40" s="273"/>
      <c r="C40" s="273"/>
      <c r="D40" s="273"/>
      <c r="E40" s="273"/>
      <c r="F40" s="274">
        <f>F38*F39</f>
        <v>44</v>
      </c>
    </row>
    <row r="41" spans="1:8" x14ac:dyDescent="0.25">
      <c r="A41" s="272" t="s">
        <v>293</v>
      </c>
      <c r="B41" s="273"/>
      <c r="C41" s="273"/>
      <c r="D41" s="273"/>
      <c r="E41" s="273"/>
      <c r="F41" s="274">
        <v>6</v>
      </c>
    </row>
    <row r="42" spans="1:8" x14ac:dyDescent="0.25">
      <c r="A42" s="272" t="s">
        <v>294</v>
      </c>
      <c r="B42" s="273"/>
      <c r="C42" s="273"/>
      <c r="D42" s="273"/>
      <c r="E42" s="273"/>
      <c r="F42" s="274">
        <v>7</v>
      </c>
    </row>
    <row r="43" spans="1:8" x14ac:dyDescent="0.25">
      <c r="A43" s="272" t="s">
        <v>295</v>
      </c>
      <c r="B43" s="273"/>
      <c r="C43" s="273"/>
      <c r="D43" s="273"/>
      <c r="E43" s="273"/>
      <c r="F43" s="280">
        <f>F40/F41</f>
        <v>7.333333333333333</v>
      </c>
    </row>
    <row r="44" spans="1:8" x14ac:dyDescent="0.25">
      <c r="A44" s="272" t="s">
        <v>296</v>
      </c>
      <c r="B44" s="273"/>
      <c r="C44" s="273"/>
      <c r="D44" s="273"/>
      <c r="E44" s="273"/>
      <c r="F44" s="274">
        <v>30</v>
      </c>
    </row>
    <row r="45" spans="1:8" x14ac:dyDescent="0.25">
      <c r="A45" s="275" t="s">
        <v>297</v>
      </c>
      <c r="B45" s="276"/>
      <c r="C45" s="276"/>
      <c r="D45" s="276"/>
      <c r="E45" s="276"/>
      <c r="F45" s="307">
        <f>F43*F44</f>
        <v>220</v>
      </c>
    </row>
    <row r="46" spans="1:8" x14ac:dyDescent="0.25">
      <c r="A46" s="275" t="s">
        <v>300</v>
      </c>
      <c r="B46" s="276"/>
      <c r="C46" s="276"/>
      <c r="D46" s="276"/>
      <c r="E46" s="276"/>
      <c r="F46" s="269">
        <v>220</v>
      </c>
    </row>
    <row r="47" spans="1:8" x14ac:dyDescent="0.25">
      <c r="A47" s="275" t="s">
        <v>301</v>
      </c>
      <c r="B47" s="276"/>
      <c r="C47" s="276"/>
      <c r="D47" s="276"/>
      <c r="E47" s="276"/>
      <c r="F47" s="277">
        <f>F45/F46</f>
        <v>1</v>
      </c>
    </row>
  </sheetData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T109"/>
  <sheetViews>
    <sheetView topLeftCell="D10" workbookViewId="0">
      <selection activeCell="A14" sqref="A14"/>
    </sheetView>
  </sheetViews>
  <sheetFormatPr defaultColWidth="8.85546875" defaultRowHeight="15" x14ac:dyDescent="0.25"/>
  <cols>
    <col min="1" max="1" width="15.5703125" style="282" customWidth="1"/>
    <col min="2" max="2" width="18.140625" style="282" customWidth="1"/>
    <col min="3" max="3" width="15.5703125" style="282" customWidth="1"/>
    <col min="4" max="4" width="12.7109375" style="282" customWidth="1"/>
    <col min="5" max="5" width="6.85546875" style="282" customWidth="1"/>
    <col min="6" max="6" width="10.85546875" style="282" customWidth="1"/>
    <col min="7" max="7" width="15.5703125" style="282" customWidth="1"/>
    <col min="8" max="8" width="18.7109375" style="282" customWidth="1"/>
    <col min="9" max="9" width="15.28515625" style="282" customWidth="1"/>
    <col min="10" max="10" width="12.85546875" style="282" customWidth="1"/>
    <col min="11" max="11" width="6.85546875" style="282" customWidth="1"/>
    <col min="12" max="12" width="12" style="282" customWidth="1"/>
    <col min="13" max="13" width="21" style="282" customWidth="1"/>
    <col min="14" max="14" width="16.5703125" style="282" customWidth="1"/>
    <col min="15" max="15" width="15" style="282" customWidth="1"/>
    <col min="16" max="16" width="14.28515625" style="282" customWidth="1"/>
    <col min="17" max="17" width="10.5703125" style="282" customWidth="1"/>
    <col min="18" max="16384" width="8.85546875" style="282"/>
  </cols>
  <sheetData>
    <row r="2" spans="1:20" ht="15" customHeight="1" thickBot="1" x14ac:dyDescent="0.3">
      <c r="A2" s="303" t="s">
        <v>281</v>
      </c>
    </row>
    <row r="3" spans="1:20" ht="15.75" customHeight="1" thickBot="1" x14ac:dyDescent="0.3">
      <c r="A3" s="470" t="s">
        <v>467</v>
      </c>
      <c r="B3" s="471"/>
      <c r="C3" s="471"/>
      <c r="D3" s="471"/>
      <c r="E3" s="472"/>
      <c r="F3" s="283"/>
      <c r="G3" s="470" t="s">
        <v>484</v>
      </c>
      <c r="H3" s="471"/>
      <c r="I3" s="471"/>
      <c r="J3" s="471"/>
      <c r="K3" s="472"/>
      <c r="L3" s="283"/>
      <c r="M3" s="486" t="s">
        <v>485</v>
      </c>
      <c r="N3" s="487"/>
      <c r="O3" s="487"/>
      <c r="P3" s="487"/>
      <c r="Q3" s="488"/>
    </row>
    <row r="4" spans="1:20" ht="15.75" thickBot="1" x14ac:dyDescent="0.3">
      <c r="A4" s="467" t="s">
        <v>327</v>
      </c>
      <c r="B4" s="468"/>
      <c r="C4" s="468"/>
      <c r="D4" s="468"/>
      <c r="E4" s="469"/>
      <c r="F4" s="283"/>
      <c r="G4" s="467" t="s">
        <v>327</v>
      </c>
      <c r="H4" s="468"/>
      <c r="I4" s="468"/>
      <c r="J4" s="468"/>
      <c r="K4" s="469"/>
      <c r="L4" s="283"/>
      <c r="M4" s="489"/>
      <c r="N4" s="490"/>
      <c r="O4" s="490"/>
      <c r="P4" s="490"/>
      <c r="Q4" s="491"/>
    </row>
    <row r="5" spans="1:20" s="283" customFormat="1" ht="15.75" thickBot="1" x14ac:dyDescent="0.3">
      <c r="A5" s="323" t="s">
        <v>331</v>
      </c>
      <c r="B5" s="324" t="s">
        <v>332</v>
      </c>
      <c r="C5" s="324" t="s">
        <v>333</v>
      </c>
      <c r="D5" s="324" t="s">
        <v>325</v>
      </c>
      <c r="E5" s="325" t="s">
        <v>231</v>
      </c>
      <c r="G5" s="323" t="s">
        <v>331</v>
      </c>
      <c r="H5" s="324" t="s">
        <v>332</v>
      </c>
      <c r="I5" s="324" t="s">
        <v>333</v>
      </c>
      <c r="J5" s="324" t="s">
        <v>325</v>
      </c>
      <c r="K5" s="325" t="s">
        <v>231</v>
      </c>
      <c r="M5" s="470" t="s">
        <v>466</v>
      </c>
      <c r="N5" s="471"/>
      <c r="O5" s="471"/>
      <c r="P5" s="471"/>
      <c r="Q5" s="472"/>
    </row>
    <row r="6" spans="1:20" s="283" customFormat="1" ht="15.75" thickBot="1" x14ac:dyDescent="0.3">
      <c r="A6" s="319" t="s">
        <v>335</v>
      </c>
      <c r="B6" s="320" t="s">
        <v>336</v>
      </c>
      <c r="C6" s="385" t="s">
        <v>337</v>
      </c>
      <c r="D6" s="322">
        <v>3927.38</v>
      </c>
      <c r="E6" s="293" t="s">
        <v>338</v>
      </c>
      <c r="G6" s="319" t="s">
        <v>335</v>
      </c>
      <c r="H6" s="320" t="s">
        <v>336</v>
      </c>
      <c r="I6" s="321" t="s">
        <v>337</v>
      </c>
      <c r="J6" s="322">
        <v>2555.44</v>
      </c>
      <c r="K6" s="293" t="s">
        <v>338</v>
      </c>
      <c r="M6" s="284" t="s">
        <v>322</v>
      </c>
      <c r="N6" s="285" t="s">
        <v>323</v>
      </c>
      <c r="O6" s="285" t="s">
        <v>324</v>
      </c>
      <c r="P6" s="285" t="s">
        <v>325</v>
      </c>
      <c r="Q6" s="286" t="s">
        <v>326</v>
      </c>
    </row>
    <row r="7" spans="1:20" s="283" customFormat="1" x14ac:dyDescent="0.25">
      <c r="A7" s="317" t="s">
        <v>341</v>
      </c>
      <c r="B7" s="288"/>
      <c r="C7" s="290" t="s">
        <v>342</v>
      </c>
      <c r="D7" s="291">
        <v>3879.29</v>
      </c>
      <c r="E7" s="294" t="s">
        <v>338</v>
      </c>
      <c r="F7" s="282"/>
      <c r="G7" s="317" t="s">
        <v>341</v>
      </c>
      <c r="H7" s="288"/>
      <c r="I7" s="290" t="s">
        <v>342</v>
      </c>
      <c r="J7" s="291">
        <v>1709.34</v>
      </c>
      <c r="K7" s="294" t="s">
        <v>338</v>
      </c>
      <c r="L7" s="282"/>
      <c r="M7" s="478" t="s">
        <v>328</v>
      </c>
      <c r="N7" s="388" t="s">
        <v>329</v>
      </c>
      <c r="O7" s="389" t="s">
        <v>330</v>
      </c>
      <c r="P7" s="391">
        <f>D27</f>
        <v>53.768130000000006</v>
      </c>
      <c r="Q7" s="390" t="s">
        <v>18</v>
      </c>
    </row>
    <row r="8" spans="1:20" x14ac:dyDescent="0.25">
      <c r="A8" s="317" t="s">
        <v>343</v>
      </c>
      <c r="B8" s="288"/>
      <c r="C8" s="290" t="s">
        <v>344</v>
      </c>
      <c r="D8" s="291">
        <v>1829.86</v>
      </c>
      <c r="E8" s="294" t="s">
        <v>338</v>
      </c>
      <c r="G8" s="317" t="s">
        <v>343</v>
      </c>
      <c r="H8" s="288"/>
      <c r="I8" s="290" t="s">
        <v>344</v>
      </c>
      <c r="J8" s="291">
        <v>1440.9</v>
      </c>
      <c r="K8" s="294" t="s">
        <v>338</v>
      </c>
      <c r="M8" s="479"/>
      <c r="N8" s="370" t="s">
        <v>334</v>
      </c>
      <c r="O8" s="378" t="s">
        <v>477</v>
      </c>
      <c r="P8" s="382">
        <f>J27</f>
        <v>32.869459999999989</v>
      </c>
      <c r="Q8" s="289" t="s">
        <v>18</v>
      </c>
      <c r="T8" s="283"/>
    </row>
    <row r="9" spans="1:20" x14ac:dyDescent="0.25">
      <c r="A9" s="317" t="s">
        <v>347</v>
      </c>
      <c r="B9" s="288"/>
      <c r="C9" s="290" t="s">
        <v>348</v>
      </c>
      <c r="D9" s="291">
        <v>4258.24</v>
      </c>
      <c r="E9" s="294" t="s">
        <v>338</v>
      </c>
      <c r="G9" s="317" t="s">
        <v>347</v>
      </c>
      <c r="H9" s="288"/>
      <c r="I9" s="290" t="s">
        <v>348</v>
      </c>
      <c r="J9" s="291">
        <v>1235.95</v>
      </c>
      <c r="K9" s="294" t="s">
        <v>338</v>
      </c>
      <c r="M9" s="500" t="s">
        <v>339</v>
      </c>
      <c r="N9" s="370" t="s">
        <v>329</v>
      </c>
      <c r="O9" s="288" t="s">
        <v>340</v>
      </c>
      <c r="P9" s="382">
        <f>D62</f>
        <v>54.707809999999995</v>
      </c>
      <c r="Q9" s="289" t="s">
        <v>18</v>
      </c>
      <c r="T9" s="283"/>
    </row>
    <row r="10" spans="1:20" ht="15" customHeight="1" x14ac:dyDescent="0.25">
      <c r="A10" s="317" t="s">
        <v>350</v>
      </c>
      <c r="B10" s="288"/>
      <c r="C10" s="290" t="s">
        <v>351</v>
      </c>
      <c r="D10" s="291">
        <v>2224.88</v>
      </c>
      <c r="E10" s="294" t="s">
        <v>338</v>
      </c>
      <c r="G10" s="317" t="s">
        <v>350</v>
      </c>
      <c r="H10" s="288"/>
      <c r="I10" s="290" t="s">
        <v>351</v>
      </c>
      <c r="J10" s="291">
        <v>924.5</v>
      </c>
      <c r="K10" s="294" t="s">
        <v>338</v>
      </c>
      <c r="M10" s="479"/>
      <c r="N10" s="370" t="s">
        <v>334</v>
      </c>
      <c r="O10" s="378" t="s">
        <v>480</v>
      </c>
      <c r="P10" s="382">
        <f>J62</f>
        <v>55.187240000000003</v>
      </c>
      <c r="Q10" s="289" t="s">
        <v>18</v>
      </c>
      <c r="T10" s="283"/>
    </row>
    <row r="11" spans="1:20" x14ac:dyDescent="0.25">
      <c r="A11" s="317" t="s">
        <v>352</v>
      </c>
      <c r="B11" s="288"/>
      <c r="C11" s="290" t="s">
        <v>353</v>
      </c>
      <c r="D11" s="291">
        <v>2658.61</v>
      </c>
      <c r="E11" s="294" t="s">
        <v>338</v>
      </c>
      <c r="G11" s="317" t="s">
        <v>352</v>
      </c>
      <c r="H11" s="288"/>
      <c r="I11" s="290" t="s">
        <v>353</v>
      </c>
      <c r="J11" s="291">
        <v>2018.2</v>
      </c>
      <c r="K11" s="294" t="s">
        <v>338</v>
      </c>
      <c r="M11" s="501" t="s">
        <v>345</v>
      </c>
      <c r="N11" s="370" t="s">
        <v>329</v>
      </c>
      <c r="O11" s="288" t="s">
        <v>346</v>
      </c>
      <c r="P11" s="382">
        <f>D86</f>
        <v>53.09525</v>
      </c>
      <c r="Q11" s="289" t="s">
        <v>18</v>
      </c>
      <c r="T11" s="283"/>
    </row>
    <row r="12" spans="1:20" ht="15.75" thickBot="1" x14ac:dyDescent="0.3">
      <c r="A12" s="317" t="s">
        <v>355</v>
      </c>
      <c r="B12" s="288"/>
      <c r="C12" s="290" t="s">
        <v>356</v>
      </c>
      <c r="D12" s="291">
        <v>2916.46</v>
      </c>
      <c r="E12" s="294" t="s">
        <v>338</v>
      </c>
      <c r="G12" s="317" t="s">
        <v>355</v>
      </c>
      <c r="H12" s="288"/>
      <c r="I12" s="290" t="s">
        <v>356</v>
      </c>
      <c r="J12" s="315">
        <v>1356.9</v>
      </c>
      <c r="K12" s="294" t="s">
        <v>338</v>
      </c>
      <c r="M12" s="502"/>
      <c r="N12" s="371" t="s">
        <v>334</v>
      </c>
      <c r="O12" s="379" t="s">
        <v>478</v>
      </c>
      <c r="P12" s="392">
        <f>J86</f>
        <v>18.575279999999999</v>
      </c>
      <c r="Q12" s="292" t="s">
        <v>18</v>
      </c>
      <c r="T12" s="283"/>
    </row>
    <row r="13" spans="1:20" ht="15" customHeight="1" thickBot="1" x14ac:dyDescent="0.3">
      <c r="A13" s="317" t="s">
        <v>358</v>
      </c>
      <c r="B13" s="288"/>
      <c r="C13" s="290" t="s">
        <v>359</v>
      </c>
      <c r="D13" s="291">
        <v>1459.35</v>
      </c>
      <c r="E13" s="294" t="s">
        <v>338</v>
      </c>
      <c r="G13" s="317" t="s">
        <v>358</v>
      </c>
      <c r="H13" s="288"/>
      <c r="I13" s="290" t="s">
        <v>359</v>
      </c>
      <c r="J13" s="291">
        <v>1621.99</v>
      </c>
      <c r="K13" s="294" t="s">
        <v>338</v>
      </c>
      <c r="M13" s="503"/>
      <c r="N13" s="504"/>
      <c r="O13" s="504"/>
      <c r="P13" s="504"/>
      <c r="Q13" s="505"/>
    </row>
    <row r="14" spans="1:20" x14ac:dyDescent="0.25">
      <c r="A14" s="317" t="s">
        <v>361</v>
      </c>
      <c r="B14" s="288"/>
      <c r="C14" s="372" t="s">
        <v>481</v>
      </c>
      <c r="D14" s="291">
        <v>2481.33</v>
      </c>
      <c r="E14" s="294" t="s">
        <v>338</v>
      </c>
      <c r="G14" s="317" t="s">
        <v>361</v>
      </c>
      <c r="H14" s="288"/>
      <c r="I14" s="372" t="s">
        <v>481</v>
      </c>
      <c r="J14" s="291">
        <v>775.32</v>
      </c>
      <c r="K14" s="294" t="s">
        <v>338</v>
      </c>
      <c r="M14" s="498" t="s">
        <v>487</v>
      </c>
      <c r="N14" s="499"/>
      <c r="O14" s="387" t="s">
        <v>354</v>
      </c>
      <c r="P14" s="381">
        <f>P7+P8+P9+P10+P11+P12</f>
        <v>268.20317</v>
      </c>
      <c r="Q14" s="293" t="s">
        <v>18</v>
      </c>
    </row>
    <row r="15" spans="1:20" x14ac:dyDescent="0.25">
      <c r="A15" s="317" t="s">
        <v>363</v>
      </c>
      <c r="B15" s="288"/>
      <c r="C15" s="290" t="s">
        <v>364</v>
      </c>
      <c r="D15" s="291">
        <v>978.9</v>
      </c>
      <c r="E15" s="294" t="s">
        <v>338</v>
      </c>
      <c r="G15" s="317" t="s">
        <v>363</v>
      </c>
      <c r="H15" s="288"/>
      <c r="I15" s="290" t="s">
        <v>364</v>
      </c>
      <c r="J15" s="291">
        <v>1605.89</v>
      </c>
      <c r="K15" s="294" t="s">
        <v>338</v>
      </c>
      <c r="M15" s="460" t="s">
        <v>357</v>
      </c>
      <c r="N15" s="461"/>
      <c r="O15" s="461"/>
      <c r="P15" s="382">
        <f>(P14*2)-P11</f>
        <v>483.31108999999998</v>
      </c>
      <c r="Q15" s="294" t="s">
        <v>18</v>
      </c>
    </row>
    <row r="16" spans="1:20" ht="15.75" thickBot="1" x14ac:dyDescent="0.3">
      <c r="A16" s="317" t="s">
        <v>365</v>
      </c>
      <c r="B16" s="288"/>
      <c r="C16" s="290" t="s">
        <v>366</v>
      </c>
      <c r="D16" s="291">
        <v>2337.1</v>
      </c>
      <c r="E16" s="294" t="s">
        <v>338</v>
      </c>
      <c r="G16" s="317" t="s">
        <v>365</v>
      </c>
      <c r="H16" s="288"/>
      <c r="I16" s="290" t="s">
        <v>366</v>
      </c>
      <c r="J16" s="291">
        <v>1205.27</v>
      </c>
      <c r="K16" s="294" t="s">
        <v>338</v>
      </c>
      <c r="M16" s="473" t="s">
        <v>360</v>
      </c>
      <c r="N16" s="474"/>
      <c r="O16" s="474"/>
      <c r="P16" s="383">
        <f>(P15/7)*30</f>
        <v>2071.333242857143</v>
      </c>
      <c r="Q16" s="295" t="s">
        <v>18</v>
      </c>
    </row>
    <row r="17" spans="1:17" x14ac:dyDescent="0.25">
      <c r="A17" s="317" t="s">
        <v>367</v>
      </c>
      <c r="B17" s="288"/>
      <c r="C17" s="290" t="s">
        <v>368</v>
      </c>
      <c r="D17" s="291">
        <v>1734.71</v>
      </c>
      <c r="E17" s="294" t="s">
        <v>338</v>
      </c>
      <c r="G17" s="317" t="s">
        <v>367</v>
      </c>
      <c r="H17" s="288"/>
      <c r="I17" s="290" t="s">
        <v>368</v>
      </c>
      <c r="J17" s="291">
        <v>1904.74</v>
      </c>
      <c r="K17" s="294" t="s">
        <v>338</v>
      </c>
      <c r="M17" s="480" t="s">
        <v>395</v>
      </c>
      <c r="N17" s="481"/>
      <c r="O17" s="481"/>
      <c r="P17" s="481"/>
      <c r="Q17" s="482"/>
    </row>
    <row r="18" spans="1:17" ht="15.75" thickBot="1" x14ac:dyDescent="0.3">
      <c r="A18" s="317" t="s">
        <v>369</v>
      </c>
      <c r="B18" s="288"/>
      <c r="C18" s="290" t="s">
        <v>370</v>
      </c>
      <c r="D18" s="291">
        <v>1017.28</v>
      </c>
      <c r="E18" s="294" t="s">
        <v>338</v>
      </c>
      <c r="G18" s="317" t="s">
        <v>369</v>
      </c>
      <c r="H18" s="288"/>
      <c r="I18" s="290" t="s">
        <v>370</v>
      </c>
      <c r="J18" s="291">
        <v>1021.23</v>
      </c>
      <c r="K18" s="294" t="s">
        <v>338</v>
      </c>
      <c r="M18" s="483"/>
      <c r="N18" s="484"/>
      <c r="O18" s="484"/>
      <c r="P18" s="484"/>
      <c r="Q18" s="485"/>
    </row>
    <row r="19" spans="1:17" x14ac:dyDescent="0.25">
      <c r="A19" s="317" t="s">
        <v>371</v>
      </c>
      <c r="B19" s="288"/>
      <c r="C19" s="290" t="s">
        <v>372</v>
      </c>
      <c r="D19" s="291">
        <v>3231.05</v>
      </c>
      <c r="E19" s="294" t="s">
        <v>338</v>
      </c>
      <c r="G19" s="317" t="s">
        <v>371</v>
      </c>
      <c r="H19" s="288"/>
      <c r="I19" s="290" t="s">
        <v>372</v>
      </c>
      <c r="J19" s="291">
        <v>1882.53</v>
      </c>
      <c r="K19" s="294" t="s">
        <v>338</v>
      </c>
      <c r="M19" s="492"/>
      <c r="N19" s="493"/>
      <c r="O19" s="493"/>
      <c r="P19" s="493"/>
      <c r="Q19" s="494"/>
    </row>
    <row r="20" spans="1:17" ht="15.75" thickBot="1" x14ac:dyDescent="0.3">
      <c r="A20" s="317" t="s">
        <v>373</v>
      </c>
      <c r="B20" s="288"/>
      <c r="C20" s="290" t="s">
        <v>374</v>
      </c>
      <c r="D20" s="291">
        <v>7328.51</v>
      </c>
      <c r="E20" s="294" t="s">
        <v>338</v>
      </c>
      <c r="G20" s="317" t="s">
        <v>373</v>
      </c>
      <c r="H20" s="288"/>
      <c r="I20" s="372" t="s">
        <v>374</v>
      </c>
      <c r="J20" s="291">
        <v>828.01</v>
      </c>
      <c r="K20" s="294" t="s">
        <v>338</v>
      </c>
      <c r="M20" s="495"/>
      <c r="N20" s="496"/>
      <c r="O20" s="496"/>
      <c r="P20" s="496"/>
      <c r="Q20" s="497"/>
    </row>
    <row r="21" spans="1:17" ht="15" customHeight="1" thickBot="1" x14ac:dyDescent="0.3">
      <c r="A21" s="317" t="s">
        <v>375</v>
      </c>
      <c r="B21" s="288"/>
      <c r="C21" s="372" t="s">
        <v>376</v>
      </c>
      <c r="D21" s="291">
        <v>2311.89</v>
      </c>
      <c r="E21" s="294" t="s">
        <v>338</v>
      </c>
      <c r="G21" s="317" t="s">
        <v>375</v>
      </c>
      <c r="H21" s="288"/>
      <c r="I21" s="290" t="s">
        <v>376</v>
      </c>
      <c r="J21" s="291">
        <v>1105.3800000000001</v>
      </c>
      <c r="K21" s="294" t="s">
        <v>338</v>
      </c>
      <c r="M21" s="470" t="s">
        <v>479</v>
      </c>
      <c r="N21" s="471"/>
      <c r="O21" s="471"/>
      <c r="P21" s="471"/>
      <c r="Q21" s="472"/>
    </row>
    <row r="22" spans="1:17" ht="15.75" thickBot="1" x14ac:dyDescent="0.3">
      <c r="A22" s="317" t="s">
        <v>377</v>
      </c>
      <c r="B22" s="288"/>
      <c r="C22" s="290" t="s">
        <v>378</v>
      </c>
      <c r="D22" s="291">
        <v>1694.11</v>
      </c>
      <c r="E22" s="294" t="s">
        <v>338</v>
      </c>
      <c r="G22" s="317" t="s">
        <v>377</v>
      </c>
      <c r="H22" s="288"/>
      <c r="I22" s="290" t="s">
        <v>378</v>
      </c>
      <c r="J22" s="291">
        <v>1202.01</v>
      </c>
      <c r="K22" s="294" t="s">
        <v>338</v>
      </c>
      <c r="M22" s="284" t="s">
        <v>322</v>
      </c>
      <c r="N22" s="285" t="s">
        <v>323</v>
      </c>
      <c r="O22" s="285" t="s">
        <v>324</v>
      </c>
      <c r="P22" s="285" t="s">
        <v>325</v>
      </c>
      <c r="Q22" s="286" t="s">
        <v>326</v>
      </c>
    </row>
    <row r="23" spans="1:17" x14ac:dyDescent="0.25">
      <c r="A23" s="317" t="s">
        <v>379</v>
      </c>
      <c r="B23" s="288"/>
      <c r="C23" s="290" t="s">
        <v>380</v>
      </c>
      <c r="D23" s="291">
        <v>1301.43</v>
      </c>
      <c r="E23" s="294" t="s">
        <v>338</v>
      </c>
      <c r="G23" s="317" t="s">
        <v>379</v>
      </c>
      <c r="H23" s="288"/>
      <c r="I23" s="290" t="s">
        <v>380</v>
      </c>
      <c r="J23" s="291">
        <v>1317.71</v>
      </c>
      <c r="K23" s="294" t="s">
        <v>338</v>
      </c>
      <c r="M23" s="374" t="s">
        <v>472</v>
      </c>
      <c r="N23" s="376" t="s">
        <v>476</v>
      </c>
      <c r="O23" s="393" t="s">
        <v>349</v>
      </c>
      <c r="P23" s="381">
        <f>D27</f>
        <v>53.768130000000006</v>
      </c>
      <c r="Q23" s="287" t="s">
        <v>18</v>
      </c>
    </row>
    <row r="24" spans="1:17" x14ac:dyDescent="0.25">
      <c r="A24" s="317" t="s">
        <v>381</v>
      </c>
      <c r="B24" s="288"/>
      <c r="C24" s="290" t="s">
        <v>382</v>
      </c>
      <c r="D24" s="291">
        <v>1424.71</v>
      </c>
      <c r="E24" s="294" t="s">
        <v>338</v>
      </c>
      <c r="G24" s="317" t="s">
        <v>381</v>
      </c>
      <c r="H24" s="288"/>
      <c r="I24" s="290" t="s">
        <v>382</v>
      </c>
      <c r="J24" s="291">
        <v>2482.44</v>
      </c>
      <c r="K24" s="294" t="s">
        <v>338</v>
      </c>
      <c r="M24" s="373" t="s">
        <v>488</v>
      </c>
      <c r="N24" s="375" t="s">
        <v>476</v>
      </c>
      <c r="O24" s="394" t="s">
        <v>477</v>
      </c>
      <c r="P24" s="382">
        <f>D62</f>
        <v>54.707809999999995</v>
      </c>
      <c r="Q24" s="289" t="s">
        <v>18</v>
      </c>
    </row>
    <row r="25" spans="1:17" x14ac:dyDescent="0.25">
      <c r="A25" s="384" t="s">
        <v>383</v>
      </c>
      <c r="B25" s="288" t="s">
        <v>336</v>
      </c>
      <c r="C25" s="372" t="s">
        <v>482</v>
      </c>
      <c r="D25" s="291">
        <v>4773.04</v>
      </c>
      <c r="E25" s="294" t="s">
        <v>338</v>
      </c>
      <c r="G25" s="317" t="s">
        <v>383</v>
      </c>
      <c r="H25" s="288" t="s">
        <v>336</v>
      </c>
      <c r="I25" s="372" t="s">
        <v>483</v>
      </c>
      <c r="J25" s="291">
        <v>4675.71</v>
      </c>
      <c r="K25" s="294" t="s">
        <v>338</v>
      </c>
      <c r="M25" s="374" t="s">
        <v>473</v>
      </c>
      <c r="N25" s="375" t="s">
        <v>476</v>
      </c>
      <c r="O25" s="394" t="s">
        <v>480</v>
      </c>
      <c r="P25" s="382">
        <f>D86</f>
        <v>53.09525</v>
      </c>
      <c r="Q25" s="289" t="s">
        <v>18</v>
      </c>
    </row>
    <row r="26" spans="1:17" x14ac:dyDescent="0.25">
      <c r="A26" s="460" t="s">
        <v>385</v>
      </c>
      <c r="B26" s="461"/>
      <c r="C26" s="461"/>
      <c r="D26" s="296">
        <f>SUM(D6:D25)</f>
        <v>53768.130000000005</v>
      </c>
      <c r="E26" s="318" t="s">
        <v>338</v>
      </c>
      <c r="G26" s="460" t="s">
        <v>385</v>
      </c>
      <c r="H26" s="461"/>
      <c r="I26" s="461"/>
      <c r="J26" s="296">
        <f>SUM(J6:J25)</f>
        <v>32869.459999999992</v>
      </c>
      <c r="K26" s="318" t="s">
        <v>338</v>
      </c>
      <c r="M26" s="373" t="s">
        <v>474</v>
      </c>
      <c r="N26" s="375" t="s">
        <v>476</v>
      </c>
      <c r="O26" s="394" t="s">
        <v>340</v>
      </c>
      <c r="P26" s="382">
        <f>J27</f>
        <v>32.869459999999989</v>
      </c>
      <c r="Q26" s="289" t="s">
        <v>18</v>
      </c>
    </row>
    <row r="27" spans="1:17" x14ac:dyDescent="0.25">
      <c r="A27" s="460" t="s">
        <v>385</v>
      </c>
      <c r="B27" s="461"/>
      <c r="C27" s="461"/>
      <c r="D27" s="297">
        <f>D26/1000</f>
        <v>53.768130000000006</v>
      </c>
      <c r="E27" s="318" t="s">
        <v>18</v>
      </c>
      <c r="G27" s="460" t="s">
        <v>385</v>
      </c>
      <c r="H27" s="461"/>
      <c r="I27" s="461"/>
      <c r="J27" s="297">
        <f>J26/1000</f>
        <v>32.869459999999989</v>
      </c>
      <c r="K27" s="318" t="s">
        <v>18</v>
      </c>
      <c r="M27" s="374" t="s">
        <v>475</v>
      </c>
      <c r="N27" s="375" t="s">
        <v>476</v>
      </c>
      <c r="O27" s="394" t="s">
        <v>478</v>
      </c>
      <c r="P27" s="382">
        <f>J62</f>
        <v>55.187240000000003</v>
      </c>
      <c r="Q27" s="289" t="s">
        <v>18</v>
      </c>
    </row>
    <row r="28" spans="1:17" ht="15.75" thickBot="1" x14ac:dyDescent="0.3">
      <c r="A28" s="439"/>
      <c r="B28" s="440"/>
      <c r="C28" s="440"/>
      <c r="D28" s="440"/>
      <c r="E28" s="441"/>
      <c r="G28" s="439"/>
      <c r="H28" s="440"/>
      <c r="I28" s="440"/>
      <c r="J28" s="440"/>
      <c r="K28" s="441"/>
      <c r="M28" s="380" t="s">
        <v>447</v>
      </c>
      <c r="N28" s="377" t="s">
        <v>476</v>
      </c>
      <c r="O28" s="395" t="s">
        <v>330</v>
      </c>
      <c r="P28" s="392">
        <f>J86</f>
        <v>18.575279999999999</v>
      </c>
      <c r="Q28" s="292" t="s">
        <v>18</v>
      </c>
    </row>
    <row r="29" spans="1:17" ht="15.75" thickBot="1" x14ac:dyDescent="0.3">
      <c r="A29" s="460" t="s">
        <v>386</v>
      </c>
      <c r="B29" s="461"/>
      <c r="C29" s="461"/>
      <c r="D29" s="298">
        <f>(D6+D25)/1000</f>
        <v>8.7004199999999994</v>
      </c>
      <c r="E29" s="294" t="s">
        <v>18</v>
      </c>
      <c r="G29" s="460" t="s">
        <v>386</v>
      </c>
      <c r="H29" s="461"/>
      <c r="I29" s="461"/>
      <c r="J29" s="298">
        <f>(J6+J25)/1000</f>
        <v>7.2311499999999995</v>
      </c>
      <c r="K29" s="294" t="s">
        <v>18</v>
      </c>
      <c r="M29" s="475"/>
      <c r="N29" s="476"/>
      <c r="O29" s="476"/>
      <c r="P29" s="476"/>
      <c r="Q29" s="477"/>
    </row>
    <row r="30" spans="1:17" x14ac:dyDescent="0.25">
      <c r="A30" s="462"/>
      <c r="B30" s="463"/>
      <c r="C30" s="463"/>
      <c r="D30" s="463"/>
      <c r="E30" s="464"/>
      <c r="G30" s="462"/>
      <c r="H30" s="463"/>
      <c r="I30" s="463"/>
      <c r="J30" s="463"/>
      <c r="K30" s="464"/>
      <c r="M30" s="498" t="s">
        <v>487</v>
      </c>
      <c r="N30" s="499"/>
      <c r="O30" s="387" t="s">
        <v>486</v>
      </c>
      <c r="P30" s="381">
        <f>P23+P24+P25+P26+P27+P28</f>
        <v>268.20317</v>
      </c>
      <c r="Q30" s="293" t="s">
        <v>18</v>
      </c>
    </row>
    <row r="31" spans="1:17" ht="15.75" thickBot="1" x14ac:dyDescent="0.3">
      <c r="A31" s="465" t="s">
        <v>387</v>
      </c>
      <c r="B31" s="466"/>
      <c r="C31" s="466"/>
      <c r="D31" s="327">
        <f>(D26/1000)-D29</f>
        <v>45.067710000000005</v>
      </c>
      <c r="E31" s="328" t="s">
        <v>18</v>
      </c>
      <c r="G31" s="465" t="s">
        <v>387</v>
      </c>
      <c r="H31" s="466"/>
      <c r="I31" s="466"/>
      <c r="J31" s="327">
        <f>(J26/1000)-J29</f>
        <v>25.63830999999999</v>
      </c>
      <c r="K31" s="328" t="s">
        <v>18</v>
      </c>
      <c r="M31" s="460" t="s">
        <v>357</v>
      </c>
      <c r="N31" s="461"/>
      <c r="O31" s="461"/>
      <c r="P31" s="382">
        <f>(P30*1)</f>
        <v>268.20317</v>
      </c>
      <c r="Q31" s="294" t="s">
        <v>18</v>
      </c>
    </row>
    <row r="32" spans="1:17" ht="15.75" thickBot="1" x14ac:dyDescent="0.3">
      <c r="A32" s="442" t="s">
        <v>388</v>
      </c>
      <c r="B32" s="443"/>
      <c r="C32" s="443"/>
      <c r="D32" s="443"/>
      <c r="E32" s="444"/>
      <c r="G32" s="451" t="s">
        <v>389</v>
      </c>
      <c r="H32" s="452"/>
      <c r="I32" s="452"/>
      <c r="J32" s="452"/>
      <c r="K32" s="453"/>
      <c r="M32" s="473" t="s">
        <v>360</v>
      </c>
      <c r="N32" s="474"/>
      <c r="O32" s="474"/>
      <c r="P32" s="383">
        <f>(P31/7)*30</f>
        <v>1149.442157142857</v>
      </c>
      <c r="Q32" s="295" t="s">
        <v>18</v>
      </c>
    </row>
    <row r="33" spans="1:15" x14ac:dyDescent="0.25">
      <c r="A33" s="445"/>
      <c r="B33" s="446"/>
      <c r="C33" s="446"/>
      <c r="D33" s="446"/>
      <c r="E33" s="447"/>
      <c r="G33" s="454"/>
      <c r="H33" s="455"/>
      <c r="I33" s="455"/>
      <c r="J33" s="455"/>
      <c r="K33" s="456"/>
    </row>
    <row r="34" spans="1:15" x14ac:dyDescent="0.25">
      <c r="A34" s="445"/>
      <c r="B34" s="446"/>
      <c r="C34" s="446"/>
      <c r="D34" s="446"/>
      <c r="E34" s="447"/>
      <c r="G34" s="454"/>
      <c r="H34" s="455"/>
      <c r="I34" s="455"/>
      <c r="J34" s="455"/>
      <c r="K34" s="456"/>
    </row>
    <row r="35" spans="1:15" ht="15.75" customHeight="1" thickBot="1" x14ac:dyDescent="0.3">
      <c r="A35" s="448"/>
      <c r="B35" s="449"/>
      <c r="C35" s="449"/>
      <c r="D35" s="449"/>
      <c r="E35" s="450"/>
      <c r="G35" s="457"/>
      <c r="H35" s="458"/>
      <c r="I35" s="458"/>
      <c r="J35" s="458"/>
      <c r="K35" s="459"/>
    </row>
    <row r="37" spans="1:15" ht="15.75" thickBot="1" x14ac:dyDescent="0.3">
      <c r="O37" s="314"/>
    </row>
    <row r="38" spans="1:15" ht="19.899999999999999" customHeight="1" thickBot="1" x14ac:dyDescent="0.3">
      <c r="A38" s="470" t="s">
        <v>468</v>
      </c>
      <c r="B38" s="471"/>
      <c r="C38" s="471"/>
      <c r="D38" s="471"/>
      <c r="E38" s="472"/>
      <c r="G38" s="470" t="s">
        <v>470</v>
      </c>
      <c r="H38" s="471"/>
      <c r="I38" s="471"/>
      <c r="J38" s="471"/>
      <c r="K38" s="472"/>
    </row>
    <row r="39" spans="1:15" x14ac:dyDescent="0.25">
      <c r="A39" s="467" t="s">
        <v>390</v>
      </c>
      <c r="B39" s="468"/>
      <c r="C39" s="468"/>
      <c r="D39" s="468"/>
      <c r="E39" s="469"/>
      <c r="G39" s="467" t="s">
        <v>391</v>
      </c>
      <c r="H39" s="468"/>
      <c r="I39" s="468"/>
      <c r="J39" s="468"/>
      <c r="K39" s="469"/>
    </row>
    <row r="40" spans="1:15" ht="15.75" thickBot="1" x14ac:dyDescent="0.3">
      <c r="A40" s="323" t="s">
        <v>331</v>
      </c>
      <c r="B40" s="324" t="s">
        <v>332</v>
      </c>
      <c r="C40" s="324" t="s">
        <v>333</v>
      </c>
      <c r="D40" s="324" t="s">
        <v>325</v>
      </c>
      <c r="E40" s="325" t="s">
        <v>231</v>
      </c>
      <c r="G40" s="323" t="s">
        <v>331</v>
      </c>
      <c r="H40" s="324" t="s">
        <v>332</v>
      </c>
      <c r="I40" s="324" t="s">
        <v>333</v>
      </c>
      <c r="J40" s="324" t="s">
        <v>325</v>
      </c>
      <c r="K40" s="325" t="s">
        <v>231</v>
      </c>
    </row>
    <row r="41" spans="1:15" x14ac:dyDescent="0.25">
      <c r="A41" s="319" t="s">
        <v>335</v>
      </c>
      <c r="B41" s="320" t="s">
        <v>336</v>
      </c>
      <c r="C41" s="321" t="s">
        <v>337</v>
      </c>
      <c r="D41" s="322">
        <v>3476.82</v>
      </c>
      <c r="E41" s="293" t="s">
        <v>338</v>
      </c>
      <c r="F41" s="283"/>
      <c r="G41" s="319" t="s">
        <v>335</v>
      </c>
      <c r="H41" s="320" t="s">
        <v>336</v>
      </c>
      <c r="I41" s="321" t="s">
        <v>337</v>
      </c>
      <c r="J41" s="326">
        <v>370.98</v>
      </c>
      <c r="K41" s="293" t="s">
        <v>338</v>
      </c>
    </row>
    <row r="42" spans="1:15" x14ac:dyDescent="0.25">
      <c r="A42" s="317" t="s">
        <v>341</v>
      </c>
      <c r="B42" s="288"/>
      <c r="C42" s="290" t="s">
        <v>342</v>
      </c>
      <c r="D42" s="291">
        <v>1188.6099999999999</v>
      </c>
      <c r="E42" s="294" t="s">
        <v>338</v>
      </c>
      <c r="F42" s="283"/>
      <c r="G42" s="317" t="s">
        <v>341</v>
      </c>
      <c r="H42" s="288"/>
      <c r="I42" s="290" t="s">
        <v>342</v>
      </c>
      <c r="J42" s="386">
        <v>3387.29</v>
      </c>
      <c r="K42" s="294" t="s">
        <v>338</v>
      </c>
    </row>
    <row r="43" spans="1:15" x14ac:dyDescent="0.25">
      <c r="A43" s="317" t="s">
        <v>343</v>
      </c>
      <c r="B43" s="288"/>
      <c r="C43" s="290" t="s">
        <v>344</v>
      </c>
      <c r="D43" s="291">
        <v>1502.84</v>
      </c>
      <c r="E43" s="294" t="s">
        <v>338</v>
      </c>
      <c r="F43" s="283"/>
      <c r="G43" s="317" t="s">
        <v>343</v>
      </c>
      <c r="H43" s="288"/>
      <c r="I43" s="290" t="s">
        <v>344</v>
      </c>
      <c r="J43" s="304">
        <v>3226.31</v>
      </c>
      <c r="K43" s="294" t="s">
        <v>338</v>
      </c>
    </row>
    <row r="44" spans="1:15" x14ac:dyDescent="0.25">
      <c r="A44" s="317" t="s">
        <v>347</v>
      </c>
      <c r="B44" s="288"/>
      <c r="C44" s="290" t="s">
        <v>348</v>
      </c>
      <c r="D44" s="291">
        <v>1602.44</v>
      </c>
      <c r="E44" s="294" t="s">
        <v>338</v>
      </c>
      <c r="F44" s="283"/>
      <c r="G44" s="317" t="s">
        <v>347</v>
      </c>
      <c r="H44" s="288"/>
      <c r="I44" s="290" t="s">
        <v>348</v>
      </c>
      <c r="J44" s="304">
        <v>2479.85</v>
      </c>
      <c r="K44" s="294" t="s">
        <v>338</v>
      </c>
    </row>
    <row r="45" spans="1:15" x14ac:dyDescent="0.25">
      <c r="A45" s="317" t="s">
        <v>350</v>
      </c>
      <c r="B45" s="288"/>
      <c r="C45" s="290" t="s">
        <v>351</v>
      </c>
      <c r="D45" s="291">
        <v>1686.85</v>
      </c>
      <c r="E45" s="294" t="s">
        <v>338</v>
      </c>
      <c r="G45" s="317" t="s">
        <v>350</v>
      </c>
      <c r="H45" s="288"/>
      <c r="I45" s="290" t="s">
        <v>351</v>
      </c>
      <c r="J45" s="304">
        <v>2148.34</v>
      </c>
      <c r="K45" s="294" t="s">
        <v>338</v>
      </c>
    </row>
    <row r="46" spans="1:15" x14ac:dyDescent="0.25">
      <c r="A46" s="317" t="s">
        <v>352</v>
      </c>
      <c r="B46" s="288"/>
      <c r="C46" s="290" t="s">
        <v>353</v>
      </c>
      <c r="D46" s="291">
        <v>1575.45</v>
      </c>
      <c r="E46" s="294" t="s">
        <v>338</v>
      </c>
      <c r="G46" s="317" t="s">
        <v>352</v>
      </c>
      <c r="H46" s="288"/>
      <c r="I46" s="290" t="s">
        <v>353</v>
      </c>
      <c r="J46" s="304">
        <v>1981.01</v>
      </c>
      <c r="K46" s="294" t="s">
        <v>338</v>
      </c>
    </row>
    <row r="47" spans="1:15" x14ac:dyDescent="0.25">
      <c r="A47" s="317" t="s">
        <v>355</v>
      </c>
      <c r="B47" s="288"/>
      <c r="C47" s="290" t="s">
        <v>356</v>
      </c>
      <c r="D47" s="291">
        <v>1374.68</v>
      </c>
      <c r="E47" s="294" t="s">
        <v>338</v>
      </c>
      <c r="G47" s="317" t="s">
        <v>355</v>
      </c>
      <c r="H47" s="288"/>
      <c r="I47" s="290" t="s">
        <v>356</v>
      </c>
      <c r="J47" s="304">
        <v>3490.04</v>
      </c>
      <c r="K47" s="294" t="s">
        <v>338</v>
      </c>
    </row>
    <row r="48" spans="1:15" x14ac:dyDescent="0.25">
      <c r="A48" s="317" t="s">
        <v>358</v>
      </c>
      <c r="B48" s="288"/>
      <c r="C48" s="372" t="s">
        <v>359</v>
      </c>
      <c r="D48" s="291">
        <v>839.81</v>
      </c>
      <c r="E48" s="294" t="s">
        <v>338</v>
      </c>
      <c r="G48" s="317" t="s">
        <v>358</v>
      </c>
      <c r="H48" s="288"/>
      <c r="I48" s="290" t="s">
        <v>359</v>
      </c>
      <c r="J48" s="304">
        <v>3827.6</v>
      </c>
      <c r="K48" s="294" t="s">
        <v>338</v>
      </c>
    </row>
    <row r="49" spans="1:11" x14ac:dyDescent="0.25">
      <c r="A49" s="317" t="s">
        <v>361</v>
      </c>
      <c r="B49" s="288"/>
      <c r="C49" s="290" t="s">
        <v>392</v>
      </c>
      <c r="D49" s="291">
        <v>6177.41</v>
      </c>
      <c r="E49" s="294" t="s">
        <v>338</v>
      </c>
      <c r="G49" s="317" t="s">
        <v>361</v>
      </c>
      <c r="H49" s="288"/>
      <c r="I49" s="372" t="s">
        <v>481</v>
      </c>
      <c r="J49" s="304">
        <v>754.59</v>
      </c>
      <c r="K49" s="294" t="s">
        <v>338</v>
      </c>
    </row>
    <row r="50" spans="1:11" x14ac:dyDescent="0.25">
      <c r="A50" s="317" t="s">
        <v>363</v>
      </c>
      <c r="B50" s="288"/>
      <c r="C50" s="290" t="s">
        <v>364</v>
      </c>
      <c r="D50" s="291">
        <v>5687.13</v>
      </c>
      <c r="E50" s="294" t="s">
        <v>338</v>
      </c>
      <c r="G50" s="317" t="s">
        <v>363</v>
      </c>
      <c r="H50" s="288"/>
      <c r="I50" s="290" t="s">
        <v>364</v>
      </c>
      <c r="J50" s="304">
        <v>5262.66</v>
      </c>
      <c r="K50" s="294" t="s">
        <v>338</v>
      </c>
    </row>
    <row r="51" spans="1:11" x14ac:dyDescent="0.25">
      <c r="A51" s="317" t="s">
        <v>365</v>
      </c>
      <c r="B51" s="288"/>
      <c r="C51" s="290" t="s">
        <v>366</v>
      </c>
      <c r="D51" s="291">
        <v>3056.2</v>
      </c>
      <c r="E51" s="294" t="s">
        <v>338</v>
      </c>
      <c r="G51" s="317" t="s">
        <v>365</v>
      </c>
      <c r="H51" s="288"/>
      <c r="I51" s="290" t="s">
        <v>366</v>
      </c>
      <c r="J51" s="304">
        <v>5384.4</v>
      </c>
      <c r="K51" s="294" t="s">
        <v>338</v>
      </c>
    </row>
    <row r="52" spans="1:11" x14ac:dyDescent="0.25">
      <c r="A52" s="317" t="s">
        <v>367</v>
      </c>
      <c r="B52" s="288"/>
      <c r="C52" s="290" t="s">
        <v>368</v>
      </c>
      <c r="D52" s="291">
        <v>5371.82</v>
      </c>
      <c r="E52" s="294" t="s">
        <v>338</v>
      </c>
      <c r="G52" s="317" t="s">
        <v>367</v>
      </c>
      <c r="H52" s="288"/>
      <c r="I52" s="290" t="s">
        <v>368</v>
      </c>
      <c r="J52" s="304">
        <v>4859.75</v>
      </c>
      <c r="K52" s="294" t="s">
        <v>338</v>
      </c>
    </row>
    <row r="53" spans="1:11" x14ac:dyDescent="0.25">
      <c r="A53" s="317" t="s">
        <v>369</v>
      </c>
      <c r="B53" s="288"/>
      <c r="C53" s="290" t="s">
        <v>370</v>
      </c>
      <c r="D53" s="291">
        <v>6555.02</v>
      </c>
      <c r="E53" s="294" t="s">
        <v>338</v>
      </c>
      <c r="G53" s="317" t="s">
        <v>369</v>
      </c>
      <c r="H53" s="288"/>
      <c r="I53" s="290" t="s">
        <v>370</v>
      </c>
      <c r="J53" s="304">
        <v>1371.92</v>
      </c>
      <c r="K53" s="294" t="s">
        <v>338</v>
      </c>
    </row>
    <row r="54" spans="1:11" x14ac:dyDescent="0.25">
      <c r="A54" s="317" t="s">
        <v>371</v>
      </c>
      <c r="C54" s="290" t="s">
        <v>372</v>
      </c>
      <c r="D54" s="291">
        <v>2957.42</v>
      </c>
      <c r="E54" s="294" t="s">
        <v>338</v>
      </c>
      <c r="G54" s="317" t="s">
        <v>371</v>
      </c>
      <c r="H54" s="288"/>
      <c r="I54" s="290" t="s">
        <v>372</v>
      </c>
      <c r="J54" s="304">
        <v>2828.84</v>
      </c>
      <c r="K54" s="294" t="s">
        <v>338</v>
      </c>
    </row>
    <row r="55" spans="1:11" x14ac:dyDescent="0.25">
      <c r="A55" s="317" t="s">
        <v>373</v>
      </c>
      <c r="B55" s="288"/>
      <c r="C55" s="372" t="s">
        <v>374</v>
      </c>
      <c r="D55" s="291">
        <v>1212.3699999999999</v>
      </c>
      <c r="E55" s="294" t="s">
        <v>338</v>
      </c>
      <c r="G55" s="317" t="s">
        <v>373</v>
      </c>
      <c r="H55" s="288"/>
      <c r="I55" s="372" t="s">
        <v>374</v>
      </c>
      <c r="J55" s="304">
        <v>3866.36</v>
      </c>
      <c r="K55" s="294" t="s">
        <v>338</v>
      </c>
    </row>
    <row r="56" spans="1:11" x14ac:dyDescent="0.25">
      <c r="A56" s="317" t="s">
        <v>375</v>
      </c>
      <c r="B56" s="288"/>
      <c r="C56" s="290" t="s">
        <v>376</v>
      </c>
      <c r="D56" s="291">
        <v>778.57</v>
      </c>
      <c r="E56" s="294" t="s">
        <v>338</v>
      </c>
      <c r="G56" s="317" t="s">
        <v>375</v>
      </c>
      <c r="H56" s="288"/>
      <c r="I56" s="290" t="s">
        <v>376</v>
      </c>
      <c r="J56" s="304">
        <v>1263.99</v>
      </c>
      <c r="K56" s="294" t="s">
        <v>338</v>
      </c>
    </row>
    <row r="57" spans="1:11" x14ac:dyDescent="0.25">
      <c r="A57" s="317" t="s">
        <v>377</v>
      </c>
      <c r="B57" s="288"/>
      <c r="C57" s="290" t="s">
        <v>378</v>
      </c>
      <c r="D57" s="291">
        <v>3181.59</v>
      </c>
      <c r="E57" s="294" t="s">
        <v>338</v>
      </c>
      <c r="G57" s="317" t="s">
        <v>377</v>
      </c>
      <c r="H57" s="288"/>
      <c r="I57" s="290" t="s">
        <v>378</v>
      </c>
      <c r="J57" s="304">
        <v>2912.06</v>
      </c>
      <c r="K57" s="294" t="s">
        <v>338</v>
      </c>
    </row>
    <row r="58" spans="1:11" x14ac:dyDescent="0.25">
      <c r="A58" s="317" t="s">
        <v>379</v>
      </c>
      <c r="B58" s="288"/>
      <c r="C58" s="290" t="s">
        <v>380</v>
      </c>
      <c r="D58" s="291">
        <v>1733.95</v>
      </c>
      <c r="E58" s="294" t="s">
        <v>338</v>
      </c>
      <c r="G58" s="317" t="s">
        <v>379</v>
      </c>
      <c r="H58" s="288"/>
      <c r="I58" s="290" t="s">
        <v>380</v>
      </c>
      <c r="J58" s="304">
        <v>2520.48</v>
      </c>
      <c r="K58" s="294" t="s">
        <v>338</v>
      </c>
    </row>
    <row r="59" spans="1:11" x14ac:dyDescent="0.25">
      <c r="A59" s="317" t="s">
        <v>381</v>
      </c>
      <c r="B59" s="288"/>
      <c r="C59" s="290" t="s">
        <v>382</v>
      </c>
      <c r="D59" s="291">
        <v>3576.19</v>
      </c>
      <c r="E59" s="294" t="s">
        <v>338</v>
      </c>
      <c r="G59" s="317" t="s">
        <v>381</v>
      </c>
      <c r="H59" s="288"/>
      <c r="I59" s="290" t="s">
        <v>382</v>
      </c>
      <c r="J59" s="304">
        <v>2911.08</v>
      </c>
      <c r="K59" s="294" t="s">
        <v>338</v>
      </c>
    </row>
    <row r="60" spans="1:11" x14ac:dyDescent="0.25">
      <c r="A60" s="384" t="s">
        <v>383</v>
      </c>
      <c r="B60" s="288" t="s">
        <v>336</v>
      </c>
      <c r="C60" s="372" t="s">
        <v>483</v>
      </c>
      <c r="D60" s="291">
        <v>1172.6400000000001</v>
      </c>
      <c r="E60" s="294" t="s">
        <v>338</v>
      </c>
      <c r="G60" s="317" t="s">
        <v>383</v>
      </c>
      <c r="H60" s="288" t="s">
        <v>336</v>
      </c>
      <c r="I60" s="290" t="s">
        <v>384</v>
      </c>
      <c r="J60" s="291">
        <v>339.69</v>
      </c>
      <c r="K60" s="294" t="s">
        <v>338</v>
      </c>
    </row>
    <row r="61" spans="1:11" x14ac:dyDescent="0.25">
      <c r="A61" s="460" t="s">
        <v>385</v>
      </c>
      <c r="B61" s="461"/>
      <c r="C61" s="461"/>
      <c r="D61" s="296">
        <f>SUM(D41:D60)</f>
        <v>54707.81</v>
      </c>
      <c r="E61" s="318" t="s">
        <v>338</v>
      </c>
      <c r="G61" s="460" t="s">
        <v>385</v>
      </c>
      <c r="H61" s="461"/>
      <c r="I61" s="461"/>
      <c r="J61" s="296">
        <f>SUM(J41:J60)</f>
        <v>55187.240000000005</v>
      </c>
      <c r="K61" s="318" t="s">
        <v>338</v>
      </c>
    </row>
    <row r="62" spans="1:11" x14ac:dyDescent="0.25">
      <c r="A62" s="460" t="s">
        <v>385</v>
      </c>
      <c r="B62" s="461"/>
      <c r="C62" s="461"/>
      <c r="D62" s="297">
        <f>D61/1000</f>
        <v>54.707809999999995</v>
      </c>
      <c r="E62" s="318" t="s">
        <v>18</v>
      </c>
      <c r="G62" s="460" t="s">
        <v>385</v>
      </c>
      <c r="H62" s="461"/>
      <c r="I62" s="461"/>
      <c r="J62" s="297">
        <f>J61/1000</f>
        <v>55.187240000000003</v>
      </c>
      <c r="K62" s="318" t="s">
        <v>18</v>
      </c>
    </row>
    <row r="63" spans="1:11" x14ac:dyDescent="0.25">
      <c r="A63" s="439"/>
      <c r="B63" s="440"/>
      <c r="C63" s="440"/>
      <c r="D63" s="440"/>
      <c r="E63" s="441"/>
      <c r="G63" s="439"/>
      <c r="H63" s="440"/>
      <c r="I63" s="440"/>
      <c r="J63" s="440"/>
      <c r="K63" s="441"/>
    </row>
    <row r="64" spans="1:11" x14ac:dyDescent="0.25">
      <c r="A64" s="460" t="s">
        <v>386</v>
      </c>
      <c r="B64" s="461"/>
      <c r="C64" s="461"/>
      <c r="D64" s="298">
        <f>(D41+D60)/1000</f>
        <v>4.6494600000000004</v>
      </c>
      <c r="E64" s="294" t="s">
        <v>18</v>
      </c>
      <c r="G64" s="460" t="s">
        <v>386</v>
      </c>
      <c r="H64" s="461"/>
      <c r="I64" s="461"/>
      <c r="J64" s="298">
        <f>(J41+J60)/1000</f>
        <v>0.71067000000000002</v>
      </c>
      <c r="K64" s="294" t="s">
        <v>18</v>
      </c>
    </row>
    <row r="65" spans="1:16" x14ac:dyDescent="0.25">
      <c r="A65" s="462"/>
      <c r="B65" s="463"/>
      <c r="C65" s="463"/>
      <c r="D65" s="463"/>
      <c r="E65" s="464"/>
      <c r="G65" s="462"/>
      <c r="H65" s="463"/>
      <c r="I65" s="463"/>
      <c r="J65" s="463"/>
      <c r="K65" s="464"/>
      <c r="O65" s="314"/>
      <c r="P65" s="314"/>
    </row>
    <row r="66" spans="1:16" ht="15.75" thickBot="1" x14ac:dyDescent="0.3">
      <c r="A66" s="465" t="s">
        <v>387</v>
      </c>
      <c r="B66" s="466"/>
      <c r="C66" s="466"/>
      <c r="D66" s="327">
        <f>(D61/1000)-D64</f>
        <v>50.058349999999997</v>
      </c>
      <c r="E66" s="328" t="s">
        <v>18</v>
      </c>
      <c r="G66" s="465" t="s">
        <v>387</v>
      </c>
      <c r="H66" s="466"/>
      <c r="I66" s="466"/>
      <c r="J66" s="327">
        <f>(J61/1000)-J64</f>
        <v>54.476570000000002</v>
      </c>
      <c r="K66" s="328" t="s">
        <v>18</v>
      </c>
    </row>
    <row r="67" spans="1:16" x14ac:dyDescent="0.25">
      <c r="A67" s="442" t="s">
        <v>388</v>
      </c>
      <c r="B67" s="443"/>
      <c r="C67" s="443"/>
      <c r="D67" s="443"/>
      <c r="E67" s="444"/>
      <c r="G67" s="451" t="s">
        <v>389</v>
      </c>
      <c r="H67" s="452"/>
      <c r="I67" s="452"/>
      <c r="J67" s="452"/>
      <c r="K67" s="453"/>
    </row>
    <row r="68" spans="1:16" x14ac:dyDescent="0.25">
      <c r="A68" s="445"/>
      <c r="B68" s="446"/>
      <c r="C68" s="446"/>
      <c r="D68" s="446"/>
      <c r="E68" s="447"/>
      <c r="G68" s="454"/>
      <c r="H68" s="455"/>
      <c r="I68" s="455"/>
      <c r="J68" s="455"/>
      <c r="K68" s="456"/>
    </row>
    <row r="69" spans="1:16" x14ac:dyDescent="0.25">
      <c r="A69" s="445"/>
      <c r="B69" s="446"/>
      <c r="C69" s="446"/>
      <c r="D69" s="446"/>
      <c r="E69" s="447"/>
      <c r="G69" s="454"/>
      <c r="H69" s="455"/>
      <c r="I69" s="455"/>
      <c r="J69" s="455"/>
      <c r="K69" s="456"/>
    </row>
    <row r="70" spans="1:16" ht="15.75" thickBot="1" x14ac:dyDescent="0.3">
      <c r="A70" s="448"/>
      <c r="B70" s="449"/>
      <c r="C70" s="449"/>
      <c r="D70" s="449"/>
      <c r="E70" s="450"/>
      <c r="G70" s="457"/>
      <c r="H70" s="458"/>
      <c r="I70" s="458"/>
      <c r="J70" s="458"/>
      <c r="K70" s="459"/>
    </row>
    <row r="71" spans="1:16" x14ac:dyDescent="0.25">
      <c r="A71" s="329"/>
      <c r="B71" s="329"/>
      <c r="C71" s="329"/>
      <c r="D71" s="329"/>
      <c r="E71" s="329"/>
      <c r="G71" s="330"/>
      <c r="H71" s="330"/>
      <c r="I71" s="330"/>
      <c r="J71" s="330"/>
      <c r="K71" s="330"/>
    </row>
    <row r="72" spans="1:16" ht="15.75" thickBot="1" x14ac:dyDescent="0.3"/>
    <row r="73" spans="1:16" ht="15.75" thickBot="1" x14ac:dyDescent="0.3">
      <c r="A73" s="470" t="s">
        <v>469</v>
      </c>
      <c r="B73" s="471"/>
      <c r="C73" s="471"/>
      <c r="D73" s="471"/>
      <c r="E73" s="472"/>
      <c r="G73" s="470" t="s">
        <v>471</v>
      </c>
      <c r="H73" s="471"/>
      <c r="I73" s="471"/>
      <c r="J73" s="471"/>
      <c r="K73" s="472"/>
    </row>
    <row r="74" spans="1:16" x14ac:dyDescent="0.25">
      <c r="A74" s="467" t="s">
        <v>393</v>
      </c>
      <c r="B74" s="468"/>
      <c r="C74" s="468"/>
      <c r="D74" s="468"/>
      <c r="E74" s="469"/>
      <c r="G74" s="467" t="s">
        <v>327</v>
      </c>
      <c r="H74" s="468"/>
      <c r="I74" s="468"/>
      <c r="J74" s="468"/>
      <c r="K74" s="469"/>
    </row>
    <row r="75" spans="1:16" ht="15" customHeight="1" thickBot="1" x14ac:dyDescent="0.3">
      <c r="A75" s="323" t="s">
        <v>331</v>
      </c>
      <c r="B75" s="324" t="s">
        <v>332</v>
      </c>
      <c r="C75" s="324" t="s">
        <v>333</v>
      </c>
      <c r="D75" s="324" t="s">
        <v>325</v>
      </c>
      <c r="E75" s="325" t="s">
        <v>231</v>
      </c>
      <c r="G75" s="323" t="s">
        <v>331</v>
      </c>
      <c r="H75" s="324" t="s">
        <v>332</v>
      </c>
      <c r="I75" s="324" t="s">
        <v>333</v>
      </c>
      <c r="J75" s="324" t="s">
        <v>325</v>
      </c>
      <c r="K75" s="325" t="s">
        <v>231</v>
      </c>
    </row>
    <row r="76" spans="1:16" x14ac:dyDescent="0.25">
      <c r="A76" s="319" t="s">
        <v>335</v>
      </c>
      <c r="B76" s="320" t="s">
        <v>336</v>
      </c>
      <c r="C76" s="321" t="s">
        <v>337</v>
      </c>
      <c r="D76" s="322">
        <v>2928.76</v>
      </c>
      <c r="E76" s="293" t="s">
        <v>338</v>
      </c>
      <c r="G76" s="319" t="s">
        <v>335</v>
      </c>
      <c r="H76" s="320" t="s">
        <v>336</v>
      </c>
      <c r="I76" s="321" t="s">
        <v>337</v>
      </c>
      <c r="J76" s="322">
        <v>3364.56</v>
      </c>
      <c r="K76" s="293" t="s">
        <v>338</v>
      </c>
    </row>
    <row r="77" spans="1:16" x14ac:dyDescent="0.25">
      <c r="A77" s="317" t="s">
        <v>341</v>
      </c>
      <c r="B77" s="288"/>
      <c r="C77" s="290" t="s">
        <v>342</v>
      </c>
      <c r="D77" s="291">
        <v>7497.32</v>
      </c>
      <c r="E77" s="294" t="s">
        <v>338</v>
      </c>
      <c r="G77" s="317" t="s">
        <v>341</v>
      </c>
      <c r="H77" s="288"/>
      <c r="I77" s="290" t="s">
        <v>342</v>
      </c>
      <c r="J77" s="291">
        <v>2844.26</v>
      </c>
      <c r="K77" s="294" t="s">
        <v>338</v>
      </c>
    </row>
    <row r="78" spans="1:16" x14ac:dyDescent="0.25">
      <c r="A78" s="317" t="s">
        <v>343</v>
      </c>
      <c r="B78" s="288"/>
      <c r="C78" s="290" t="s">
        <v>344</v>
      </c>
      <c r="D78" s="291">
        <v>4219.8999999999996</v>
      </c>
      <c r="E78" s="294" t="s">
        <v>338</v>
      </c>
      <c r="G78" s="317" t="s">
        <v>343</v>
      </c>
      <c r="H78" s="288"/>
      <c r="I78" s="290" t="s">
        <v>344</v>
      </c>
      <c r="J78" s="291">
        <v>1677.17</v>
      </c>
      <c r="K78" s="294" t="s">
        <v>338</v>
      </c>
    </row>
    <row r="79" spans="1:16" x14ac:dyDescent="0.25">
      <c r="A79" s="317" t="s">
        <v>347</v>
      </c>
      <c r="B79" s="288"/>
      <c r="C79" s="290" t="s">
        <v>348</v>
      </c>
      <c r="D79" s="291">
        <v>6662.07</v>
      </c>
      <c r="E79" s="294" t="s">
        <v>338</v>
      </c>
      <c r="G79" s="317" t="s">
        <v>347</v>
      </c>
      <c r="H79" s="288"/>
      <c r="I79" s="290" t="s">
        <v>348</v>
      </c>
      <c r="J79" s="291">
        <v>2343.73</v>
      </c>
      <c r="K79" s="294" t="s">
        <v>338</v>
      </c>
    </row>
    <row r="80" spans="1:16" x14ac:dyDescent="0.25">
      <c r="A80" s="317" t="s">
        <v>350</v>
      </c>
      <c r="B80" s="288"/>
      <c r="C80" s="290" t="s">
        <v>351</v>
      </c>
      <c r="D80" s="291">
        <v>5795.87</v>
      </c>
      <c r="E80" s="294" t="s">
        <v>338</v>
      </c>
      <c r="G80" s="317" t="s">
        <v>350</v>
      </c>
      <c r="H80" s="288"/>
      <c r="I80" s="290" t="s">
        <v>351</v>
      </c>
      <c r="J80" s="291">
        <v>3293.74</v>
      </c>
      <c r="K80" s="294" t="s">
        <v>338</v>
      </c>
    </row>
    <row r="81" spans="1:11" x14ac:dyDescent="0.25">
      <c r="A81" s="317" t="s">
        <v>352</v>
      </c>
      <c r="B81" s="288"/>
      <c r="C81" s="290" t="s">
        <v>353</v>
      </c>
      <c r="D81" s="291">
        <v>10404.94</v>
      </c>
      <c r="E81" s="294" t="s">
        <v>338</v>
      </c>
      <c r="F81" s="283"/>
      <c r="G81" s="317" t="s">
        <v>352</v>
      </c>
      <c r="H81" s="288"/>
      <c r="I81" s="290" t="s">
        <v>353</v>
      </c>
      <c r="J81" s="291">
        <v>1696.23</v>
      </c>
      <c r="K81" s="294" t="s">
        <v>338</v>
      </c>
    </row>
    <row r="82" spans="1:11" x14ac:dyDescent="0.25">
      <c r="A82" s="317" t="s">
        <v>355</v>
      </c>
      <c r="B82" s="288"/>
      <c r="C82" s="290" t="s">
        <v>356</v>
      </c>
      <c r="D82" s="291">
        <v>6021.36</v>
      </c>
      <c r="E82" s="294" t="s">
        <v>338</v>
      </c>
      <c r="F82" s="283"/>
      <c r="G82" s="317" t="s">
        <v>355</v>
      </c>
      <c r="H82" s="288" t="s">
        <v>336</v>
      </c>
      <c r="I82" s="290" t="s">
        <v>394</v>
      </c>
      <c r="J82" s="291">
        <v>3355.59</v>
      </c>
      <c r="K82" s="294" t="s">
        <v>338</v>
      </c>
    </row>
    <row r="83" spans="1:11" x14ac:dyDescent="0.25">
      <c r="A83" s="317" t="s">
        <v>358</v>
      </c>
      <c r="B83" s="288"/>
      <c r="C83" s="290" t="s">
        <v>359</v>
      </c>
      <c r="D83" s="291">
        <v>4821.97</v>
      </c>
      <c r="E83" s="294" t="s">
        <v>338</v>
      </c>
      <c r="F83" s="283"/>
      <c r="G83" s="317"/>
      <c r="H83" s="288"/>
      <c r="I83" s="290"/>
      <c r="J83" s="291"/>
      <c r="K83" s="294" t="s">
        <v>338</v>
      </c>
    </row>
    <row r="84" spans="1:11" x14ac:dyDescent="0.25">
      <c r="A84" s="317" t="s">
        <v>361</v>
      </c>
      <c r="B84" s="288" t="s">
        <v>336</v>
      </c>
      <c r="C84" s="290" t="s">
        <v>362</v>
      </c>
      <c r="D84" s="291">
        <v>4743.0600000000004</v>
      </c>
      <c r="E84" s="294" t="s">
        <v>338</v>
      </c>
      <c r="F84" s="283"/>
      <c r="G84" s="317"/>
      <c r="H84" s="288"/>
      <c r="I84" s="290"/>
      <c r="J84" s="291"/>
      <c r="K84" s="294" t="s">
        <v>338</v>
      </c>
    </row>
    <row r="85" spans="1:11" x14ac:dyDescent="0.25">
      <c r="A85" s="460" t="s">
        <v>385</v>
      </c>
      <c r="B85" s="461"/>
      <c r="C85" s="461"/>
      <c r="D85" s="296">
        <f>SUM(D76:D84)</f>
        <v>53095.25</v>
      </c>
      <c r="E85" s="318" t="s">
        <v>338</v>
      </c>
      <c r="G85" s="460" t="s">
        <v>385</v>
      </c>
      <c r="H85" s="461"/>
      <c r="I85" s="461"/>
      <c r="J85" s="296">
        <f>SUM(J76:J82)</f>
        <v>18575.28</v>
      </c>
      <c r="K85" s="318" t="s">
        <v>338</v>
      </c>
    </row>
    <row r="86" spans="1:11" x14ac:dyDescent="0.25">
      <c r="A86" s="460" t="s">
        <v>385</v>
      </c>
      <c r="B86" s="461"/>
      <c r="C86" s="461"/>
      <c r="D86" s="297">
        <f>D85/1000</f>
        <v>53.09525</v>
      </c>
      <c r="E86" s="318" t="s">
        <v>18</v>
      </c>
      <c r="G86" s="460" t="s">
        <v>385</v>
      </c>
      <c r="H86" s="461"/>
      <c r="I86" s="461"/>
      <c r="J86" s="297">
        <f>J85/1000</f>
        <v>18.575279999999999</v>
      </c>
      <c r="K86" s="318" t="s">
        <v>18</v>
      </c>
    </row>
    <row r="87" spans="1:11" x14ac:dyDescent="0.25">
      <c r="A87" s="439"/>
      <c r="B87" s="440"/>
      <c r="C87" s="440"/>
      <c r="D87" s="440"/>
      <c r="E87" s="441"/>
      <c r="G87" s="439"/>
      <c r="H87" s="440"/>
      <c r="I87" s="440"/>
      <c r="J87" s="440"/>
      <c r="K87" s="441"/>
    </row>
    <row r="88" spans="1:11" x14ac:dyDescent="0.25">
      <c r="A88" s="460" t="s">
        <v>386</v>
      </c>
      <c r="B88" s="461"/>
      <c r="C88" s="461"/>
      <c r="D88" s="298">
        <f>(D76+D84)/1000</f>
        <v>7.6718200000000003</v>
      </c>
      <c r="E88" s="294" t="s">
        <v>18</v>
      </c>
      <c r="G88" s="460" t="s">
        <v>386</v>
      </c>
      <c r="H88" s="461"/>
      <c r="I88" s="461"/>
      <c r="J88" s="298">
        <f>(J76+J82)/1000</f>
        <v>6.7201499999999994</v>
      </c>
      <c r="K88" s="294" t="s">
        <v>18</v>
      </c>
    </row>
    <row r="89" spans="1:11" x14ac:dyDescent="0.25">
      <c r="A89" s="462"/>
      <c r="B89" s="463"/>
      <c r="C89" s="463"/>
      <c r="D89" s="463"/>
      <c r="E89" s="464"/>
      <c r="G89" s="462"/>
      <c r="H89" s="463"/>
      <c r="I89" s="463"/>
      <c r="J89" s="463"/>
      <c r="K89" s="464"/>
    </row>
    <row r="90" spans="1:11" ht="15.75" thickBot="1" x14ac:dyDescent="0.3">
      <c r="A90" s="465" t="s">
        <v>387</v>
      </c>
      <c r="B90" s="466"/>
      <c r="C90" s="466"/>
      <c r="D90" s="327">
        <f>(D85/1000)-D88</f>
        <v>45.423429999999996</v>
      </c>
      <c r="E90" s="328" t="s">
        <v>18</v>
      </c>
      <c r="G90" s="465" t="s">
        <v>387</v>
      </c>
      <c r="H90" s="466"/>
      <c r="I90" s="466"/>
      <c r="J90" s="327">
        <f>(J85/1000)-J88</f>
        <v>11.855129999999999</v>
      </c>
      <c r="K90" s="328" t="s">
        <v>18</v>
      </c>
    </row>
    <row r="91" spans="1:11" x14ac:dyDescent="0.25">
      <c r="A91" s="442" t="s">
        <v>388</v>
      </c>
      <c r="B91" s="443"/>
      <c r="C91" s="443"/>
      <c r="D91" s="443"/>
      <c r="E91" s="444"/>
      <c r="G91" s="451" t="s">
        <v>389</v>
      </c>
      <c r="H91" s="452"/>
      <c r="I91" s="452"/>
      <c r="J91" s="452"/>
      <c r="K91" s="453"/>
    </row>
    <row r="92" spans="1:11" x14ac:dyDescent="0.25">
      <c r="A92" s="445"/>
      <c r="B92" s="446"/>
      <c r="C92" s="446"/>
      <c r="D92" s="446"/>
      <c r="E92" s="447"/>
      <c r="G92" s="454"/>
      <c r="H92" s="455"/>
      <c r="I92" s="455"/>
      <c r="J92" s="455"/>
      <c r="K92" s="456"/>
    </row>
    <row r="93" spans="1:11" x14ac:dyDescent="0.25">
      <c r="A93" s="445"/>
      <c r="B93" s="446"/>
      <c r="C93" s="446"/>
      <c r="D93" s="446"/>
      <c r="E93" s="447"/>
      <c r="G93" s="454"/>
      <c r="H93" s="455"/>
      <c r="I93" s="455"/>
      <c r="J93" s="455"/>
      <c r="K93" s="456"/>
    </row>
    <row r="94" spans="1:11" ht="15.75" thickBot="1" x14ac:dyDescent="0.3">
      <c r="A94" s="448"/>
      <c r="B94" s="449"/>
      <c r="C94" s="449"/>
      <c r="D94" s="449"/>
      <c r="E94" s="450"/>
      <c r="G94" s="457"/>
      <c r="H94" s="458"/>
      <c r="I94" s="458"/>
      <c r="J94" s="458"/>
      <c r="K94" s="459"/>
    </row>
    <row r="95" spans="1:11" x14ac:dyDescent="0.25">
      <c r="A95" s="329"/>
      <c r="B95" s="329"/>
      <c r="C95" s="329"/>
      <c r="D95" s="329"/>
      <c r="E95" s="329"/>
      <c r="G95" s="330"/>
      <c r="H95" s="330"/>
      <c r="I95" s="330"/>
      <c r="J95" s="330"/>
      <c r="K95" s="330"/>
    </row>
    <row r="109" spans="8:8" x14ac:dyDescent="0.25">
      <c r="H109" s="316"/>
    </row>
  </sheetData>
  <mergeCells count="71">
    <mergeCell ref="M3:Q3"/>
    <mergeCell ref="M4:Q4"/>
    <mergeCell ref="M19:Q20"/>
    <mergeCell ref="M30:N30"/>
    <mergeCell ref="M31:O31"/>
    <mergeCell ref="M16:O16"/>
    <mergeCell ref="M9:M10"/>
    <mergeCell ref="M11:M12"/>
    <mergeCell ref="M13:Q13"/>
    <mergeCell ref="M14:N14"/>
    <mergeCell ref="M15:O15"/>
    <mergeCell ref="M5:Q5"/>
    <mergeCell ref="M32:O32"/>
    <mergeCell ref="M21:Q21"/>
    <mergeCell ref="M29:Q29"/>
    <mergeCell ref="A3:E3"/>
    <mergeCell ref="G3:K3"/>
    <mergeCell ref="A4:E4"/>
    <mergeCell ref="G4:K4"/>
    <mergeCell ref="M7:M8"/>
    <mergeCell ref="A32:E35"/>
    <mergeCell ref="G32:K35"/>
    <mergeCell ref="A29:C29"/>
    <mergeCell ref="G29:I29"/>
    <mergeCell ref="A30:E30"/>
    <mergeCell ref="G30:K30"/>
    <mergeCell ref="M17:Q18"/>
    <mergeCell ref="A26:C26"/>
    <mergeCell ref="G26:I26"/>
    <mergeCell ref="A27:C27"/>
    <mergeCell ref="G27:I27"/>
    <mergeCell ref="A28:E28"/>
    <mergeCell ref="G28:K28"/>
    <mergeCell ref="A31:C31"/>
    <mergeCell ref="G31:I31"/>
    <mergeCell ref="G61:I61"/>
    <mergeCell ref="A62:C62"/>
    <mergeCell ref="G62:I62"/>
    <mergeCell ref="A38:E38"/>
    <mergeCell ref="G38:K38"/>
    <mergeCell ref="A39:E39"/>
    <mergeCell ref="G39:K39"/>
    <mergeCell ref="A61:C61"/>
    <mergeCell ref="A63:E63"/>
    <mergeCell ref="G63:K63"/>
    <mergeCell ref="A64:C64"/>
    <mergeCell ref="G64:I64"/>
    <mergeCell ref="A65:E65"/>
    <mergeCell ref="G65:K65"/>
    <mergeCell ref="A66:C66"/>
    <mergeCell ref="G66:I66"/>
    <mergeCell ref="A67:E70"/>
    <mergeCell ref="G67:K70"/>
    <mergeCell ref="A73:E73"/>
    <mergeCell ref="G73:K73"/>
    <mergeCell ref="A74:E74"/>
    <mergeCell ref="G74:K74"/>
    <mergeCell ref="A85:C85"/>
    <mergeCell ref="G85:I85"/>
    <mergeCell ref="A86:C86"/>
    <mergeCell ref="G86:I86"/>
    <mergeCell ref="A87:E87"/>
    <mergeCell ref="G87:K87"/>
    <mergeCell ref="A91:E94"/>
    <mergeCell ref="G91:K94"/>
    <mergeCell ref="A88:C88"/>
    <mergeCell ref="G88:I88"/>
    <mergeCell ref="A89:E89"/>
    <mergeCell ref="G89:K89"/>
    <mergeCell ref="A90:C90"/>
    <mergeCell ref="G90:I90"/>
  </mergeCells>
  <pageMargins left="0.51181102362204722" right="0.51181102362204722" top="0.78740157480314965" bottom="0.78740157480314965" header="0.31496062992125984" footer="0.31496062992125984"/>
  <pageSetup paperSize="9" fitToHeight="2" orientation="portrait" r:id="rId1"/>
  <ignoredErrors>
    <ignoredError sqref="C18 I18 I53 C53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10</vt:i4>
      </vt:variant>
    </vt:vector>
  </HeadingPairs>
  <TitlesOfParts>
    <vt:vector size="22" baseType="lpstr">
      <vt:lpstr>Resumo</vt:lpstr>
      <vt:lpstr>1. Coleta Orgânica </vt:lpstr>
      <vt:lpstr>2. Coleta Seletiva</vt:lpstr>
      <vt:lpstr>3. Triagem</vt:lpstr>
      <vt:lpstr>3.Enc Sociais</vt:lpstr>
      <vt:lpstr>4.BDI </vt:lpstr>
      <vt:lpstr>5.Ton</vt:lpstr>
      <vt:lpstr>6.Horários</vt:lpstr>
      <vt:lpstr>7.Roteiro</vt:lpstr>
      <vt:lpstr>8. Depreciação</vt:lpstr>
      <vt:lpstr>9.Remuneração de capital</vt:lpstr>
      <vt:lpstr>10. Dimensionamento</vt:lpstr>
      <vt:lpstr>AbaDeprec</vt:lpstr>
      <vt:lpstr>AbaRemun</vt:lpstr>
      <vt:lpstr>'1. Coleta Orgânica '!Area_de_impressao</vt:lpstr>
      <vt:lpstr>'2. Coleta Seletiva'!Area_de_impressao</vt:lpstr>
      <vt:lpstr>'3. Triagem'!Area_de_impressao</vt:lpstr>
      <vt:lpstr>'3.Enc Sociais'!Area_de_impressao</vt:lpstr>
      <vt:lpstr>'7.Roteiro'!Area_de_impressao</vt:lpstr>
      <vt:lpstr>'1. Coleta Orgânica '!Titulos_de_impressao</vt:lpstr>
      <vt:lpstr>'2. Coleta Seletiva'!Titulos_de_impressao</vt:lpstr>
      <vt:lpstr>'3. Triagem'!Titulos_de_impressao</vt:lpstr>
    </vt:vector>
  </TitlesOfParts>
  <Company>dmlu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Custos Coleta e Transporte RSU</dc:title>
  <dc:creator>Flavia Burmeister Martins</dc:creator>
  <cp:lastModifiedBy>Simonii</cp:lastModifiedBy>
  <cp:lastPrinted>2025-05-14T23:00:42Z</cp:lastPrinted>
  <dcterms:created xsi:type="dcterms:W3CDTF">2000-12-13T10:02:50Z</dcterms:created>
  <dcterms:modified xsi:type="dcterms:W3CDTF">2025-05-22T18:28:45Z</dcterms:modified>
</cp:coreProperties>
</file>